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xr:revisionPtr revIDLastSave="0" documentId="8_{76425425-3DB2-403B-845C-56EA6CDA22EE}" xr6:coauthVersionLast="47" xr6:coauthVersionMax="47" xr10:uidLastSave="{00000000-0000-0000-0000-000000000000}"/>
  <bookViews>
    <workbookView xWindow="-98" yWindow="-98" windowWidth="21795" windowHeight="12975" xr2:uid="{31885E15-318A-4439-B96F-F9937DCE1F83}"/>
  </bookViews>
  <sheets>
    <sheet name="Voorblad" sheetId="8" r:id="rId1"/>
    <sheet name="Gevraagde input - Activiteiten" sheetId="1" r:id="rId2"/>
    <sheet name="Optionele input - Onderzoek" sheetId="10" r:id="rId3"/>
    <sheet name="Output - Milieu-impact" sheetId="4" r:id="rId4"/>
    <sheet name="Input Gupta - Bouwblokken" sheetId="9" r:id="rId5"/>
    <sheet name="Input Gupta - Rankings" sheetId="7" r:id="rId6"/>
    <sheet name="Input_OpenDIS_Zorgproducten" sheetId="2" r:id="rId7"/>
    <sheet name="Input_OpenDIS_Zorgactiviteiten" sheetId="6" r:id="rId8"/>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1" l="1"/>
  <c r="C7" i="1"/>
  <c r="E75" i="4"/>
  <c r="E74" i="4"/>
  <c r="E73" i="4"/>
  <c r="F62" i="4"/>
  <c r="H62" i="4"/>
  <c r="Y6" i="6"/>
  <c r="Z6" i="6"/>
  <c r="AA6" i="6"/>
  <c r="AD6" i="6"/>
  <c r="AE6" i="6"/>
  <c r="F63" i="4"/>
  <c r="H63" i="4"/>
  <c r="F64" i="4"/>
  <c r="H64" i="4"/>
  <c r="F65" i="4"/>
  <c r="H65" i="4"/>
  <c r="F66" i="4"/>
  <c r="H66" i="4"/>
  <c r="F67" i="4"/>
  <c r="H67" i="4"/>
  <c r="F68" i="4"/>
  <c r="H68" i="4"/>
  <c r="F69" i="4"/>
  <c r="H69" i="4"/>
  <c r="F70" i="4"/>
  <c r="H70" i="4"/>
  <c r="F71" i="4"/>
  <c r="H71" i="4"/>
  <c r="H73" i="4"/>
  <c r="H74" i="4"/>
  <c r="G62" i="4"/>
  <c r="AB6" i="6"/>
  <c r="AC6" i="6"/>
  <c r="G63" i="4"/>
  <c r="G64" i="4"/>
  <c r="G65" i="4"/>
  <c r="G66" i="4"/>
  <c r="G67" i="4"/>
  <c r="G68" i="4"/>
  <c r="G69" i="4"/>
  <c r="G70" i="4"/>
  <c r="G71" i="4"/>
  <c r="G73" i="4"/>
  <c r="G74" i="4"/>
  <c r="E62" i="4"/>
  <c r="E63" i="4"/>
  <c r="E64" i="4"/>
  <c r="E65" i="4"/>
  <c r="E66" i="4"/>
  <c r="E67" i="4"/>
  <c r="E68" i="4"/>
  <c r="E69" i="4"/>
  <c r="E70" i="4"/>
  <c r="E71" i="4"/>
  <c r="D62" i="4"/>
  <c r="D63" i="4"/>
  <c r="D64" i="4"/>
  <c r="D65" i="4"/>
  <c r="D66" i="4"/>
  <c r="D67" i="4"/>
  <c r="D68" i="4"/>
  <c r="D69" i="4"/>
  <c r="D70" i="4"/>
  <c r="D71" i="4"/>
  <c r="C62" i="4"/>
  <c r="C63" i="4"/>
  <c r="C64" i="4"/>
  <c r="C65" i="4"/>
  <c r="C66" i="4"/>
  <c r="C67" i="4"/>
  <c r="C68" i="4"/>
  <c r="C69" i="4"/>
  <c r="C70" i="4"/>
  <c r="C71" i="4"/>
  <c r="E56" i="4"/>
  <c r="E55" i="4"/>
  <c r="E54" i="4"/>
  <c r="F43" i="4"/>
  <c r="H43" i="4"/>
  <c r="F44" i="4"/>
  <c r="H44" i="4"/>
  <c r="F45" i="4"/>
  <c r="H45" i="4"/>
  <c r="F46" i="4"/>
  <c r="H46" i="4"/>
  <c r="F47" i="4"/>
  <c r="H47" i="4"/>
  <c r="F48" i="4"/>
  <c r="H48" i="4"/>
  <c r="F49" i="4"/>
  <c r="H49" i="4"/>
  <c r="F50" i="4"/>
  <c r="H50" i="4"/>
  <c r="F51" i="4"/>
  <c r="H51" i="4"/>
  <c r="F52" i="4"/>
  <c r="H52" i="4"/>
  <c r="H54" i="4"/>
  <c r="H55" i="4"/>
  <c r="G43" i="4"/>
  <c r="G44" i="4"/>
  <c r="G45" i="4"/>
  <c r="G46" i="4"/>
  <c r="G47" i="4"/>
  <c r="G48" i="4"/>
  <c r="G49" i="4"/>
  <c r="G50" i="4"/>
  <c r="G51" i="4"/>
  <c r="G52" i="4"/>
  <c r="G54" i="4"/>
  <c r="G55" i="4"/>
  <c r="E43" i="4"/>
  <c r="E44" i="4"/>
  <c r="E45" i="4"/>
  <c r="E46" i="4"/>
  <c r="E47" i="4"/>
  <c r="E48" i="4"/>
  <c r="E49" i="4"/>
  <c r="E50" i="4"/>
  <c r="E51" i="4"/>
  <c r="E52" i="4"/>
  <c r="D43" i="4"/>
  <c r="D44" i="4"/>
  <c r="D45" i="4"/>
  <c r="D46" i="4"/>
  <c r="D47" i="4"/>
  <c r="D48" i="4"/>
  <c r="D49" i="4"/>
  <c r="D50" i="4"/>
  <c r="D51" i="4"/>
  <c r="D52" i="4"/>
  <c r="C43" i="4"/>
  <c r="C44" i="4"/>
  <c r="C45" i="4"/>
  <c r="C46" i="4"/>
  <c r="C47" i="4"/>
  <c r="C48" i="4"/>
  <c r="C49" i="4"/>
  <c r="C50" i="4"/>
  <c r="C51" i="4"/>
  <c r="C52" i="4"/>
  <c r="E37" i="4"/>
  <c r="E36" i="4"/>
  <c r="E35" i="4"/>
  <c r="F24" i="4"/>
  <c r="H24" i="4"/>
  <c r="F25" i="4"/>
  <c r="H25" i="4"/>
  <c r="F26" i="4"/>
  <c r="H26" i="4"/>
  <c r="F27" i="4"/>
  <c r="H27" i="4"/>
  <c r="F28" i="4"/>
  <c r="H28" i="4"/>
  <c r="F29" i="4"/>
  <c r="H29" i="4"/>
  <c r="F30" i="4"/>
  <c r="H30" i="4"/>
  <c r="F31" i="4"/>
  <c r="H31" i="4"/>
  <c r="F32" i="4"/>
  <c r="H32" i="4"/>
  <c r="F33" i="4"/>
  <c r="H33" i="4"/>
  <c r="H35" i="4"/>
  <c r="H36" i="4"/>
  <c r="G24" i="4"/>
  <c r="G25" i="4"/>
  <c r="G26" i="4"/>
  <c r="G27" i="4"/>
  <c r="G28" i="4"/>
  <c r="G29" i="4"/>
  <c r="G30" i="4"/>
  <c r="G31" i="4"/>
  <c r="G32" i="4"/>
  <c r="G33" i="4"/>
  <c r="G35" i="4"/>
  <c r="G36" i="4"/>
  <c r="E24" i="4"/>
  <c r="E25" i="4"/>
  <c r="E26" i="4"/>
  <c r="E27" i="4"/>
  <c r="E28" i="4"/>
  <c r="E29" i="4"/>
  <c r="E30" i="4"/>
  <c r="E31" i="4"/>
  <c r="E32" i="4"/>
  <c r="E33" i="4"/>
  <c r="D24" i="4"/>
  <c r="D25" i="4"/>
  <c r="D26" i="4"/>
  <c r="D27" i="4"/>
  <c r="D28" i="4"/>
  <c r="D29" i="4"/>
  <c r="D30" i="4"/>
  <c r="D31" i="4"/>
  <c r="D32" i="4"/>
  <c r="D33" i="4"/>
  <c r="C24" i="4"/>
  <c r="C25" i="4"/>
  <c r="C26" i="4"/>
  <c r="C27" i="4"/>
  <c r="C28" i="4"/>
  <c r="C29" i="4"/>
  <c r="C30" i="4"/>
  <c r="C31" i="4"/>
  <c r="C32" i="4"/>
  <c r="C33" i="4"/>
  <c r="D16" i="4"/>
  <c r="D15" i="4"/>
  <c r="D14" i="4"/>
  <c r="D13" i="4"/>
  <c r="D10" i="4"/>
  <c r="D9" i="4"/>
  <c r="D8" i="4"/>
  <c r="D7" i="4"/>
  <c r="R6" i="6"/>
  <c r="Q6" i="6"/>
  <c r="Q5" i="7"/>
  <c r="S6" i="6"/>
  <c r="U6" i="6"/>
  <c r="R5" i="7"/>
  <c r="X6" i="6"/>
  <c r="E5" i="7"/>
  <c r="F5" i="7"/>
  <c r="K5" i="7"/>
  <c r="L5" i="7"/>
  <c r="K3" i="7"/>
  <c r="E3" i="7"/>
  <c r="P6" i="2"/>
  <c r="R6" i="2"/>
  <c r="V6" i="6"/>
  <c r="T6" i="6"/>
  <c r="P6" i="6"/>
  <c r="S6" i="2"/>
  <c r="Q6" i="2"/>
</calcChain>
</file>

<file path=xl/sharedStrings.xml><?xml version="1.0" encoding="utf-8"?>
<sst xmlns="http://schemas.openxmlformats.org/spreadsheetml/2006/main" count="209" uniqueCount="154">
  <si>
    <t>fct_aantal_pat_per_zpr</t>
  </si>
  <si>
    <t>fct_aantal_sbt_per_zpr</t>
  </si>
  <si>
    <t>fct_aantal_pat_per_dia</t>
  </si>
  <si>
    <t>fct_aantal_sbt_per_dia</t>
  </si>
  <si>
    <t>fct_aantal_pat_per_spc</t>
  </si>
  <si>
    <t>fct_aantal_sbt_per_spc</t>
  </si>
  <si>
    <t>SPC_DIA</t>
  </si>
  <si>
    <t>SPC_DIA_ZPR</t>
  </si>
  <si>
    <t>Rank zpr binnen spc_dia</t>
  </si>
  <si>
    <t>Spc_dia_rank</t>
  </si>
  <si>
    <t>Jaar</t>
  </si>
  <si>
    <t>Specialisme</t>
  </si>
  <si>
    <t>Diagnose</t>
  </si>
  <si>
    <t>Zorgproduct - Omschrijving latijn</t>
  </si>
  <si>
    <t>Zorgproduct - Omschrijving consument</t>
  </si>
  <si>
    <t>fct_aantal_pat</t>
  </si>
  <si>
    <t>fct_aantal_sbt</t>
  </si>
  <si>
    <t>fct_aantal_zga</t>
  </si>
  <si>
    <t>zga_oms</t>
  </si>
  <si>
    <t>SPC_ZGA</t>
  </si>
  <si>
    <t>SPC_ZPF</t>
  </si>
  <si>
    <t>Rank_ZGA_in_SPC_ZPF</t>
  </si>
  <si>
    <t>SPC_ZPF_Rank</t>
  </si>
  <si>
    <t>Rank_ZGA_in_SPC_DIA</t>
  </si>
  <si>
    <t>SPC_DIA_rank</t>
  </si>
  <si>
    <t>ZPF_Samengevoegd</t>
  </si>
  <si>
    <t>Polikliniek</t>
  </si>
  <si>
    <t>Meest voorkomende diagnoses Oogheelkunde</t>
  </si>
  <si>
    <t>Rank</t>
  </si>
  <si>
    <t>Totaal</t>
  </si>
  <si>
    <t>Aantal subtrajecten</t>
  </si>
  <si>
    <t>Aandeel top 10 diagnoses in totaal ---&gt;</t>
  </si>
  <si>
    <t>Diagnosecode</t>
  </si>
  <si>
    <t>Zorgproductcode</t>
  </si>
  <si>
    <t>Specialismecode</t>
  </si>
  <si>
    <t>Bron: https://www.opendisdata.nl/downloads</t>
  </si>
  <si>
    <t>Inputdata - OpenDIS - Zorgproducten Oogheelkunde (2022)</t>
  </si>
  <si>
    <t>Zorgactiviteitcode</t>
  </si>
  <si>
    <t>Zorgprofielklassecode</t>
  </si>
  <si>
    <t>Zorgprofielklasse</t>
  </si>
  <si>
    <t>Inputdata - OpenDIS - Zorgactiviteiten Oogheelkunde (2022)</t>
  </si>
  <si>
    <t>Fct_aantal_sbt_per_dia</t>
  </si>
  <si>
    <t>Rank diagnose</t>
  </si>
  <si>
    <t>Zorgactiviteit</t>
  </si>
  <si>
    <t>Type activiteit</t>
  </si>
  <si>
    <t>Diagnostiek - midden</t>
  </si>
  <si>
    <t>Diagnostiek - licht</t>
  </si>
  <si>
    <t>Diagnostiek - zwaar</t>
  </si>
  <si>
    <t>Verpleegdag 1x</t>
  </si>
  <si>
    <t>Geen activiteit/overig</t>
  </si>
  <si>
    <t>Consult op afstand</t>
  </si>
  <si>
    <t>Consult polikliniek 1x</t>
  </si>
  <si>
    <t>Operatie - licht</t>
  </si>
  <si>
    <t>Operatie - zwaar</t>
  </si>
  <si>
    <t>Operatie - midden</t>
  </si>
  <si>
    <t>Therapeutische activiteit - licht</t>
  </si>
  <si>
    <t>Therapeutische activiteit - midden</t>
  </si>
  <si>
    <t>CO2-uitstoot</t>
  </si>
  <si>
    <t>Bron CO2</t>
  </si>
  <si>
    <t>Afval</t>
  </si>
  <si>
    <t>Bron afval</t>
  </si>
  <si>
    <t>Inschatting</t>
  </si>
  <si>
    <t>https://www.medischcontact.nl/actueel/laatste-nieuws/artikel/uitstootcijfers-geven-grip-op-verduurzaming</t>
  </si>
  <si>
    <t>https://www.zonmw.nl/nl/artikel/kennis-over-diversiteit-klimaatonderzoek/onderzoek-naar-duurzame-zorg-het-ziekenhuis</t>
  </si>
  <si>
    <t>https://www.bbraun.nl/nl/oplossingen-en-producten/therapieen/chirurgische-instrumenten/afvalvermindering-ok.html</t>
  </si>
  <si>
    <t>https://www.nrc.nl/nieuws/2022/08/03/27-kilo-afval-van-een-operatie-de-zorg-is-vervuilend-a4138091</t>
  </si>
  <si>
    <t>Therapeutische activiteit - zwaar</t>
  </si>
  <si>
    <t>CO2-uitstoot per activiteit</t>
  </si>
  <si>
    <t>CO2-uitstoot activiteit</t>
  </si>
  <si>
    <t>Afval per activiteit</t>
  </si>
  <si>
    <t>Afval activiteit</t>
  </si>
  <si>
    <t>KG Afval</t>
  </si>
  <si>
    <t>KG CO2-uitstoot</t>
  </si>
  <si>
    <t>Top 10 diagnoses</t>
  </si>
  <si>
    <t>Aandeel top 10</t>
  </si>
  <si>
    <t>Meest voorkomende zorgproducten Oogheelkunde</t>
  </si>
  <si>
    <t>Berekening - Meest voorkomende diagnoses Oogheelkunde</t>
  </si>
  <si>
    <t>Berekening - Meest voorkomende zorgproducten Oogheelkunde</t>
  </si>
  <si>
    <t>Zorgproduct</t>
  </si>
  <si>
    <t>Fct_aantal_sbt_per_zpr</t>
  </si>
  <si>
    <t>Berekening - Meest voorkomende zorgactiviteiten Oogheelkunde</t>
  </si>
  <si>
    <t>Rank zorgproduct</t>
  </si>
  <si>
    <t>Fct_aantal_zga</t>
  </si>
  <si>
    <t>Aandeel top 10 zorgproducten in totaal ---&gt;</t>
  </si>
  <si>
    <t>Meest voorkomende zorgactiviteiten Oogheelkunde</t>
  </si>
  <si>
    <t>Aantal zorgactiviteiten</t>
  </si>
  <si>
    <t>Aandeel top 10 zorgactiviteiten in totaal ---&gt;</t>
  </si>
  <si>
    <t>Top 10 zorgproducten</t>
  </si>
  <si>
    <t>Top 10 zorgactiviteiten</t>
  </si>
  <si>
    <t>Inschatting CO2-uitstoot en afvalproductie van de top 10 diagnoses, zorgproducten en zorgactiviteiten van Oogheelkunde</t>
  </si>
  <si>
    <t>Uitkomsten impactanalyse Oogheelkunde</t>
  </si>
  <si>
    <t>Let op: Vul eerst de gevraagde input in op werkblad "Input_Werkgroep", voordat je de uitkomsten op dit werkblad kan gebruiken.</t>
  </si>
  <si>
    <t>Uitkomsten CO2-uitstoot</t>
  </si>
  <si>
    <t>CO2-uitstoot top 10 diagnoses</t>
  </si>
  <si>
    <t>CO2-uitstoot top 10 zorgproducten</t>
  </si>
  <si>
    <t>CO2-uitstoot top 10 zorgactiviteiten</t>
  </si>
  <si>
    <t>Inschatting CO2-uitstoot gehele specialisme</t>
  </si>
  <si>
    <t>Uitkomsten afval</t>
  </si>
  <si>
    <t>Afval top 10 diagnoses</t>
  </si>
  <si>
    <t>Afval top 10 zorgproducten</t>
  </si>
  <si>
    <t>Afval top 10 zorgactiviteiten</t>
  </si>
  <si>
    <t>Inschatting afval gehele specialisme</t>
  </si>
  <si>
    <t>kg CO2-uitstoot</t>
  </si>
  <si>
    <t>kg Afval</t>
  </si>
  <si>
    <t>Toelichting bij dit bestand</t>
  </si>
  <si>
    <t>Overzicht werkbladen</t>
  </si>
  <si>
    <t>Milieu-impact Oogheelkunde</t>
  </si>
  <si>
    <t>Inschatting van de milieubelasting van het gehele specialisme en de top 10 diagnoses, zorgproducten en zorgactiviteiten</t>
  </si>
  <si>
    <t>Datum</t>
  </si>
  <si>
    <t>In dit document maken we een inschatting van de milieubelasting van uw specialisme, op basis van openbare data van OpenDIS. Het doel van deze analyse is niet om tot achter de komma precies de milieu-impact te berekenen, maar om een beeld te geven waar de grootste milieu-impact zit. We maken een doorsnede van de impact van de meest voorkomende diagnoses, zorgproducten, en zorgactiviteiten. Op basis van deze doorsnedes kunt u een top 3-5 kiezen van focuspunten voor uw uitvoeringsplan.</t>
  </si>
  <si>
    <t>Output - Milieu-impact</t>
  </si>
  <si>
    <t>Input Gupta - Rankings</t>
  </si>
  <si>
    <t>Input OpenDIS - Zorgproducten</t>
  </si>
  <si>
    <t>Input OpenDIS - Zorgactiviteiten</t>
  </si>
  <si>
    <t>Gevraagde input - Activiteiten</t>
  </si>
  <si>
    <t>Input Gupta - Bouwblokken</t>
  </si>
  <si>
    <t>Gevraagde input en relevante output</t>
  </si>
  <si>
    <t>Achtergrond: Input Gupta en input OpenDIS</t>
  </si>
  <si>
    <t>Inschatting milieu-impact specialisme en top 10 diagnoses, zorgproducten en -activiteiten</t>
  </si>
  <si>
    <t>CO2-uitstoot en afvalproductie van een aantal standaard-zorgactiviteiten</t>
  </si>
  <si>
    <t>Berekening meest voorkomende diagnoses, zorgproducten en -activiteiten voor uw specialisme</t>
  </si>
  <si>
    <t>Geregistreerde zorgproducten 2022 voor uw specialisme zoals gerapporteerd door OpenDIS</t>
  </si>
  <si>
    <t>Geregistreerde zorgactiviteiten 2022 voor uw specialisme zoals gerapporteerd door OpenDIS</t>
  </si>
  <si>
    <t>Indeling meest voorkomende zorgactiviteiten naar een aantal standaard-activiteiten</t>
  </si>
  <si>
    <t>Relevante input?</t>
  </si>
  <si>
    <t>Rank ZGA in SPC</t>
  </si>
  <si>
    <t>Gevraagde input - Indeling zorgactiviteiten naar activiteittype</t>
  </si>
  <si>
    <t>In onderstaande tabel staan de 50 meest voorkomende zorgactiviteiten, plus zorgactiviteiten die veel voorkomen in de top 10 diagnoses en/of top 10 zorgproducten</t>
  </si>
  <si>
    <t>Dekking</t>
  </si>
  <si>
    <t>Controleer in onderstaande tabel in de oranje cellen het type zorgactiviteit dat het beste past bij de zorgactiviteit op de betreffende regel.</t>
  </si>
  <si>
    <t>Inschatting Gupta - CO2-uitstoot en afvalproductie per standaardtype activiteit</t>
  </si>
  <si>
    <t>Optionele input - Wetenschappelijk onderzoek</t>
  </si>
  <si>
    <t>Indien beschikbaar, kan je hier milieu-impacten toevoegen uit wetenschappelijke onderzoeken</t>
  </si>
  <si>
    <t>Type</t>
  </si>
  <si>
    <t>Code</t>
  </si>
  <si>
    <t>Omschrijving</t>
  </si>
  <si>
    <t>Bron</t>
  </si>
  <si>
    <r>
      <t xml:space="preserve">Let op: </t>
    </r>
    <r>
      <rPr>
        <sz val="11"/>
        <color theme="1"/>
        <rFont val="Calibri"/>
        <family val="2"/>
      </rPr>
      <t>De uitkomsten in dit bestand komen niet 1-op-1 overeen met de analyses in het uitvoeringsplan van het NOG. Het NOG heeft meerdere aanvullende onderzoeken gedaan. Wel is te zien dat, op basis van de relatief eenvoudige analyses in dit bestand, een inschatting te maken is die grotendeels overeenkomt met de uiteindelijke inschatting van het NOG op basis van aanvullend onderzoek.</t>
    </r>
  </si>
  <si>
    <t>Wetenschappelijk onderzoek?</t>
  </si>
  <si>
    <t>Optionele input - Milieu-impact van specifieke zorgactiviteiten op basis van wetenschappelijke literatuur</t>
  </si>
  <si>
    <t>Mocht er wetenschappelijke literatuur beschikbaar zijn over de milieu-impact van specifieke zorgactiviteiten, dan kan je deze in onderstaande tabel invoeren.</t>
  </si>
  <si>
    <t>Als je hier de juiste zorgactiviteitcode invoert, dan wordt voor deze activiteit de bouwblokkenanalyse overschreven.</t>
  </si>
  <si>
    <t xml:space="preserve">  </t>
  </si>
  <si>
    <t>Als je voor een zorgactiviteit alleen de CO2-uitstoot weet, dan kan je de cel voor afval leeglaten (of andersom).</t>
  </si>
  <si>
    <t>Inschatting o.b.v. inbrengen infuus, zie ook FIT-initiatief Radboud / VGZ</t>
  </si>
  <si>
    <t>Inschatting o.b.v. inleiden anesthesie, zie ook FIT-initiatief AUMC en VGZ</t>
  </si>
  <si>
    <t>Inschatting o.b.v. inleiden anesthesie</t>
  </si>
  <si>
    <t>Inschatting o.b.v. operatie midden en zwaar</t>
  </si>
  <si>
    <t>Inschatting o.b.v. therapeutische activiteit midden en zwaar</t>
  </si>
  <si>
    <t>Inschatting o.b.v. De Groene IC: https://degroeneic.nl/aan-de-slag/afval/</t>
  </si>
  <si>
    <t>Inschatting o.b.v. Echo: https://pubmed.ncbi.nlm.nih.gov/35538935/</t>
  </si>
  <si>
    <t>Inschatting o.b.v. CT: https://pubmed.ncbi.nlm.nih.gov/35538935/</t>
  </si>
  <si>
    <t>Inschatting o.b.v. MRI: https://pubmed.ncbi.nlm.nih.gov/35538935/</t>
  </si>
  <si>
    <t>Inschatting o.b.v. bottom-up berekening van afval per dag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</si>
</sst>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 #,##0_ ;_ * \-#,##0_ ;_ * &quot;-&quot;??_ ;_ @_ "/>
    <numFmt numFmtId="165" formatCode="_ * #,##0.0_ ;_ * \-#,##0.0_ ;_ * &quot;-&quot;??_ ;_ @_ "/>
    <numFmt numFmtId="166" formatCode="0.0%"/>
  </numFmts>
  <fonts count="17" x14ac:knownFonts="1">
    <font>
      <sz val="11"/>
      <color theme="1"/>
      <name val="Calibri"/>
      <family val="2"/>
    </font>
    <font>
      <sz val="11"/>
      <color rgb="FFFA7D00"/>
      <name val="Calibri"/>
      <family val="2"/>
      <scheme val="minor"/>
    </font>
    <font>
      <b/>
      <sz val="11"/>
      <color theme="0"/>
      <name val="Calibri"/>
      <family val="2"/>
      <scheme val="minor"/>
    </font>
    <font>
      <b/>
      <sz val="15"/>
      <color theme="3"/>
      <name val="Lato"/>
      <family val="2"/>
    </font>
    <font>
      <b/>
      <sz val="13"/>
      <color theme="3"/>
      <name val="Lato"/>
      <family val="2"/>
    </font>
    <font>
      <b/>
      <sz val="11"/>
      <color theme="3"/>
      <name val="Lato"/>
      <family val="2"/>
    </font>
    <font>
      <sz val="18"/>
      <color theme="3"/>
      <name val="Lato Light"/>
      <family val="2"/>
    </font>
    <font>
      <b/>
      <sz val="11"/>
      <color theme="1"/>
      <name val="Lato"/>
      <family val="2"/>
    </font>
    <font>
      <sz val="11"/>
      <color theme="1"/>
      <name val="Calibri"/>
      <family val="2"/>
    </font>
    <font>
      <sz val="11"/>
      <color rgb="FF3F3F76"/>
      <name val="Calibri"/>
      <family val="2"/>
      <scheme val="minor"/>
    </font>
    <font>
      <b/>
      <sz val="11"/>
      <color rgb="FF3F3F3F"/>
      <name val="Calibri"/>
      <family val="2"/>
      <scheme val="minor"/>
    </font>
    <font>
      <b/>
      <sz val="11"/>
      <color rgb="FFFA7D00"/>
      <name val="Calibri"/>
      <family val="2"/>
      <scheme val="minor"/>
    </font>
    <font>
      <i/>
      <sz val="11"/>
      <color rgb="FF7F7F7F"/>
      <name val="Calibri"/>
      <family val="2"/>
      <scheme val="minor"/>
    </font>
    <font>
      <b/>
      <sz val="10"/>
      <name val="Arial"/>
      <family val="2"/>
    </font>
    <font>
      <b/>
      <sz val="11"/>
      <color theme="0"/>
      <name val="Calibri"/>
      <family val="2"/>
    </font>
    <font>
      <b/>
      <sz val="11"/>
      <color theme="1"/>
      <name val="Calibri"/>
      <family val="2"/>
    </font>
    <font>
      <sz val="11"/>
      <color rgb="FF3F3F3F"/>
      <name val="Calibri"/>
      <family val="2"/>
      <scheme val="minor"/>
    </font>
  </fonts>
  <fills count="10">
    <fill>
      <patternFill patternType="none"/>
    </fill>
    <fill>
      <patternFill patternType="gray125"/>
    </fill>
    <fill>
      <patternFill patternType="solid">
        <fgColor rgb="FFA5A5A5"/>
      </patternFill>
    </fill>
    <fill>
      <patternFill patternType="solid">
        <fgColor rgb="FFFFCC99"/>
      </patternFill>
    </fill>
    <fill>
      <patternFill patternType="solid">
        <fgColor rgb="FFF2F2F2"/>
      </patternFill>
    </fill>
    <fill>
      <patternFill patternType="solid">
        <fgColor theme="5"/>
        <bgColor theme="5"/>
      </patternFill>
    </fill>
    <fill>
      <patternFill patternType="solid">
        <fgColor rgb="FFFFFFCC"/>
      </patternFill>
    </fill>
    <fill>
      <patternFill patternType="solid">
        <fgColor theme="0"/>
        <bgColor indexed="64"/>
      </patternFill>
    </fill>
    <fill>
      <patternFill patternType="solid">
        <fgColor theme="2"/>
        <bgColor indexed="64"/>
      </patternFill>
    </fill>
    <fill>
      <patternFill patternType="solid">
        <fgColor theme="3" tint="0.499984740745262"/>
        <bgColor indexed="64"/>
      </patternFill>
    </fill>
  </fills>
  <borders count="10">
    <border>
      <left/>
      <right/>
      <top/>
      <bottom/>
      <diagonal/>
    </border>
    <border>
      <left style="thin">
        <color rgb="FF3F3F3F"/>
      </left>
      <right style="thin">
        <color rgb="FF3F3F3F"/>
      </right>
      <top style="thin">
        <color rgb="FF3F3F3F"/>
      </top>
      <bottom style="thin">
        <color rgb="FF3F3F3F"/>
      </bottom>
      <diagonal/>
    </border>
    <border>
      <left style="thin">
        <color rgb="FFFF8001"/>
      </left>
      <right style="thin">
        <color rgb="FFFF8001"/>
      </right>
      <top style="thin">
        <color rgb="FFFF8001"/>
      </top>
      <bottom style="thin">
        <color rgb="FFFF8001"/>
      </bottom>
      <diagonal/>
    </border>
    <border>
      <left/>
      <right/>
      <top/>
      <bottom style="thick">
        <color theme="3"/>
      </bottom>
      <diagonal/>
    </border>
    <border>
      <left/>
      <right/>
      <top/>
      <bottom style="medium">
        <color theme="3"/>
      </bottom>
      <diagonal/>
    </border>
    <border>
      <left/>
      <right/>
      <top style="thin">
        <color theme="3"/>
      </top>
      <bottom style="double">
        <color theme="3"/>
      </bottom>
      <diagonal/>
    </border>
    <border>
      <left style="thin">
        <color rgb="FF7F7F7F"/>
      </left>
      <right style="thin">
        <color rgb="FF7F7F7F"/>
      </right>
      <top style="thin">
        <color rgb="FF7F7F7F"/>
      </top>
      <bottom style="thin">
        <color rgb="FF7F7F7F"/>
      </bottom>
      <diagonal/>
    </border>
    <border>
      <left/>
      <right/>
      <top/>
      <bottom style="thin">
        <color theme="5" tint="0.39997558519241921"/>
      </bottom>
      <diagonal/>
    </border>
    <border>
      <left style="thin">
        <color rgb="FF7F7F7F"/>
      </left>
      <right style="thin">
        <color rgb="FF7F7F7F"/>
      </right>
      <top style="thin">
        <color rgb="FF7F7F7F"/>
      </top>
      <bottom/>
      <diagonal/>
    </border>
    <border>
      <left style="thin">
        <color rgb="FFB2B2B2"/>
      </left>
      <right style="thin">
        <color rgb="FFB2B2B2"/>
      </right>
      <top style="thin">
        <color rgb="FFB2B2B2"/>
      </top>
      <bottom style="thin">
        <color rgb="FFB2B2B2"/>
      </bottom>
      <diagonal/>
    </border>
  </borders>
  <cellStyleXfs count="16">
    <xf numFmtId="0" fontId="0" fillId="0" borderId="0"/>
    <xf numFmtId="0" fontId="6" fillId="0" borderId="0" applyNumberFormat="0" applyFill="0" applyBorder="0" applyAlignment="0" applyProtection="0"/>
    <xf numFmtId="0" fontId="3" fillId="0" borderId="3" applyNumberFormat="0" applyFill="0" applyAlignment="0" applyProtection="0"/>
    <xf numFmtId="0" fontId="4" fillId="0" borderId="3" applyNumberFormat="0" applyFill="0" applyAlignment="0" applyProtection="0"/>
    <xf numFmtId="0" fontId="5" fillId="0" borderId="4" applyNumberFormat="0" applyFill="0" applyAlignment="0" applyProtection="0"/>
    <xf numFmtId="0" fontId="5" fillId="0" borderId="0" applyNumberFormat="0" applyFill="0" applyBorder="0" applyAlignment="0" applyProtection="0"/>
    <xf numFmtId="0" fontId="1" fillId="0" borderId="2" applyNumberFormat="0" applyAlignment="0" applyProtection="0"/>
    <xf numFmtId="0" fontId="2" fillId="2" borderId="1" applyNumberFormat="0" applyAlignment="0" applyProtection="0"/>
    <xf numFmtId="0" fontId="7" fillId="0" borderId="5" applyNumberFormat="0" applyFill="0" applyAlignment="0" applyProtection="0"/>
    <xf numFmtId="43" fontId="8" fillId="0" borderId="0" applyFont="0" applyFill="0" applyBorder="0" applyAlignment="0" applyProtection="0"/>
    <xf numFmtId="0" fontId="9" fillId="3" borderId="6" applyNumberFormat="0" applyAlignment="0" applyProtection="0"/>
    <xf numFmtId="0" fontId="10" fillId="4" borderId="1" applyNumberFormat="0" applyAlignment="0" applyProtection="0"/>
    <xf numFmtId="0" fontId="11" fillId="4" borderId="6" applyNumberFormat="0" applyAlignment="0" applyProtection="0"/>
    <xf numFmtId="0" fontId="12" fillId="0" borderId="0" applyNumberFormat="0" applyFill="0" applyBorder="0" applyAlignment="0" applyProtection="0"/>
    <xf numFmtId="0" fontId="8" fillId="6" borderId="9" applyNumberFormat="0" applyFont="0" applyAlignment="0" applyProtection="0"/>
    <xf numFmtId="9" fontId="8" fillId="0" borderId="0" applyFont="0" applyFill="0" applyBorder="0" applyAlignment="0" applyProtection="0"/>
  </cellStyleXfs>
  <cellXfs count="39">
    <xf numFmtId="0" fontId="0" fillId="0" borderId="0" xfId="0"/>
    <xf numFmtId="164" fontId="9" fillId="3" borderId="6" xfId="10" applyNumberFormat="1"/>
    <xf numFmtId="0" fontId="10" fillId="4" borderId="1" xfId="11"/>
    <xf numFmtId="0" fontId="0" fillId="0" borderId="0" xfId="0" applyAlignment="1">
      <alignment wrapText="1"/>
    </xf>
    <xf numFmtId="0" fontId="13" fillId="0" borderId="0" xfId="0" applyFont="1"/>
    <xf numFmtId="0" fontId="4" fillId="0" borderId="0" xfId="3" applyBorder="1"/>
    <xf numFmtId="0" fontId="3" fillId="0" borderId="0" xfId="2" applyBorder="1"/>
    <xf numFmtId="0" fontId="12" fillId="0" borderId="0" xfId="13"/>
    <xf numFmtId="0" fontId="14" fillId="5" borderId="7" xfId="0" applyFont="1" applyFill="1" applyBorder="1"/>
    <xf numFmtId="164" fontId="10" fillId="4" borderId="1" xfId="11" applyNumberFormat="1"/>
    <xf numFmtId="0" fontId="15" fillId="0" borderId="0" xfId="0" applyFont="1"/>
    <xf numFmtId="165" fontId="9" fillId="3" borderId="6" xfId="9" applyNumberFormat="1" applyFont="1" applyFill="1" applyBorder="1"/>
    <xf numFmtId="0" fontId="9" fillId="3" borderId="6" xfId="10"/>
    <xf numFmtId="165" fontId="9" fillId="3" borderId="8" xfId="9" applyNumberFormat="1" applyFont="1" applyFill="1" applyBorder="1"/>
    <xf numFmtId="164" fontId="2" fillId="2" borderId="1" xfId="7" applyNumberFormat="1"/>
    <xf numFmtId="164" fontId="10" fillId="4" borderId="1" xfId="9" applyNumberFormat="1" applyFont="1" applyFill="1" applyBorder="1"/>
    <xf numFmtId="0" fontId="5" fillId="0" borderId="0" xfId="4" applyBorder="1"/>
    <xf numFmtId="0" fontId="0" fillId="7" borderId="0" xfId="0" applyFill="1"/>
    <xf numFmtId="0" fontId="3" fillId="7" borderId="0" xfId="2" applyFill="1" applyBorder="1"/>
    <xf numFmtId="0" fontId="0" fillId="7" borderId="0" xfId="0" applyFill="1" applyAlignment="1">
      <alignment horizontal="right"/>
    </xf>
    <xf numFmtId="0" fontId="10" fillId="4" borderId="1" xfId="11" applyAlignment="1">
      <alignment horizontal="left"/>
    </xf>
    <xf numFmtId="0" fontId="5" fillId="7" borderId="0" xfId="4" applyFill="1" applyBorder="1"/>
    <xf numFmtId="0" fontId="15" fillId="8" borderId="0" xfId="0" applyFont="1" applyFill="1"/>
    <xf numFmtId="0" fontId="0" fillId="8" borderId="0" xfId="0" applyFill="1"/>
    <xf numFmtId="0" fontId="0" fillId="7" borderId="0" xfId="0" applyFill="1" applyAlignment="1">
      <alignment horizontal="left"/>
    </xf>
    <xf numFmtId="14" fontId="10" fillId="4" borderId="1" xfId="11" applyNumberFormat="1" applyAlignment="1">
      <alignment horizontal="left"/>
    </xf>
    <xf numFmtId="0" fontId="15" fillId="9" borderId="0" xfId="0" applyFont="1" applyFill="1"/>
    <xf numFmtId="164" fontId="11" fillId="4" borderId="6" xfId="12" applyNumberFormat="1"/>
    <xf numFmtId="10" fontId="10" fillId="4" borderId="1" xfId="11" applyNumberFormat="1"/>
    <xf numFmtId="0" fontId="16" fillId="6" borderId="9" xfId="14" applyFont="1"/>
    <xf numFmtId="0" fontId="11" fillId="4" borderId="6" xfId="12"/>
    <xf numFmtId="0" fontId="1" fillId="0" borderId="2" xfId="6"/>
    <xf numFmtId="166" fontId="10" fillId="4" borderId="1" xfId="15" applyNumberFormat="1" applyFont="1" applyFill="1" applyBorder="1"/>
    <xf numFmtId="0" fontId="0" fillId="6" borderId="9" xfId="14" applyFont="1"/>
    <xf numFmtId="164" fontId="0" fillId="0" borderId="0" xfId="9" applyNumberFormat="1" applyFont="1"/>
    <xf numFmtId="43" fontId="9" fillId="3" borderId="6" xfId="9" applyFont="1" applyFill="1" applyBorder="1"/>
    <xf numFmtId="0" fontId="0" fillId="7" borderId="0" xfId="0" applyFill="1" applyAlignment="1">
      <alignment horizontal="left" vertical="top" wrapText="1"/>
    </xf>
    <xf numFmtId="0" fontId="0" fillId="7" borderId="0" xfId="0" applyFill="1" applyAlignment="1">
      <alignment horizontal="left"/>
    </xf>
    <xf numFmtId="0" fontId="15" fillId="7" borderId="0" xfId="0" applyFont="1" applyFill="1" applyAlignment="1">
      <alignment horizontal="left" wrapText="1"/>
    </xf>
  </cellXfs>
  <cellStyles count="16">
    <cellStyle name="Calculation" xfId="12" builtinId="22"/>
    <cellStyle name="Check Cell" xfId="7" builtinId="23" customBuiltin="1"/>
    <cellStyle name="Comma" xfId="9" builtinId="3"/>
    <cellStyle name="Explanatory Text" xfId="13" builtinId="53"/>
    <cellStyle name="Heading 1" xfId="2" builtinId="16" customBuiltin="1"/>
    <cellStyle name="Heading 2" xfId="3" builtinId="17" customBuiltin="1"/>
    <cellStyle name="Heading 3" xfId="4" builtinId="18" customBuiltin="1"/>
    <cellStyle name="Heading 4" xfId="5" builtinId="19" customBuiltin="1"/>
    <cellStyle name="Input" xfId="10" builtinId="20"/>
    <cellStyle name="Linked Cell" xfId="6" builtinId="24" customBuiltin="1"/>
    <cellStyle name="Normal" xfId="0" builtinId="0" customBuiltin="1"/>
    <cellStyle name="Note" xfId="14" builtinId="10"/>
    <cellStyle name="Output" xfId="11" builtinId="21"/>
    <cellStyle name="Percent" xfId="15" builtinId="5"/>
    <cellStyle name="Title" xfId="1" builtinId="15" customBuiltin="1"/>
    <cellStyle name="Total" xfId="8" builtinId="25" customBuiltin="1"/>
  </cellStyles>
  <dxfs count="63">
    <dxf>
      <numFmt numFmtId="164" formatCode="_ * #,##0_ ;_ * \-#,##0_ ;_ * &quot;-&quot;??_ ;_ @_ "/>
    </dxf>
    <dxf>
      <numFmt numFmtId="164" formatCode="_ * #,##0_ ;_ * \-#,##0_ ;_ * &quot;-&quot;??_ ;_ @_ "/>
      <border>
        <left style="thin">
          <color rgb="FF3F3F3F"/>
        </left>
      </border>
    </dxf>
    <dxf>
      <numFmt numFmtId="166" formatCode="0.0%"/>
    </dxf>
    <dxf>
      <numFmt numFmtId="164" formatCode="_ * #,##0_ ;_ * \-#,##0_ ;_ * &quot;-&quot;??_ ;_ @_ "/>
      <border>
        <right style="thin">
          <color rgb="FF3F3F3F"/>
        </right>
      </border>
    </dxf>
    <dxf>
      <numFmt numFmtId="0" formatCode="General"/>
      <alignment horizontal="general" vertical="bottom" textRotation="0" wrapText="0" indent="0" justifyLastLine="0" shrinkToFit="0" readingOrder="0"/>
    </dxf>
    <dxf>
      <numFmt numFmtId="0" formatCode="General"/>
      <alignment horizontal="general" vertical="bottom" textRotation="0" wrapText="1" indent="0" justifyLastLine="0" shrinkToFit="0" readingOrder="0"/>
    </dxf>
    <dxf>
      <numFmt numFmtId="164" formatCode="_ * #,##0_ ;_ * \-#,##0_ ;_ * &quot;-&quot;??_ ;_ @_ "/>
    </dxf>
    <dxf>
      <numFmt numFmtId="164" formatCode="_ * #,##0_ ;_ * \-#,##0_ ;_ * &quot;-&quot;??_ ;_ @_ "/>
      <border>
        <left style="thin">
          <color rgb="FF3F3F3F"/>
        </left>
      </border>
    </dxf>
    <dxf>
      <numFmt numFmtId="166" formatCode="0.0%"/>
    </dxf>
    <dxf>
      <numFmt numFmtId="164" formatCode="_ * #,##0_ ;_ * \-#,##0_ ;_ * &quot;-&quot;??_ ;_ @_ "/>
      <border>
        <right style="thin">
          <color rgb="FF3F3F3F"/>
        </right>
      </border>
    </dxf>
    <dxf>
      <numFmt numFmtId="0" formatCode="General"/>
      <alignment horizontal="general" vertical="bottom" textRotation="0" wrapText="0" indent="0" justifyLastLine="0" shrinkToFit="0" readingOrder="0"/>
    </dxf>
    <dxf>
      <numFmt numFmtId="0" formatCode="General"/>
      <alignment horizontal="general" vertical="bottom" textRotation="0" wrapText="1" indent="0" justifyLastLine="0" shrinkToFit="0" readingOrder="0"/>
    </dxf>
    <dxf>
      <numFmt numFmtId="164" formatCode="_ * #,##0_ ;_ * \-#,##0_ ;_ * &quot;-&quot;??_ ;_ @_ "/>
    </dxf>
    <dxf>
      <numFmt numFmtId="164" formatCode="_ * #,##0_ ;_ * \-#,##0_ ;_ * &quot;-&quot;??_ ;_ @_ "/>
    </dxf>
    <dxf>
      <font>
        <b/>
        <color rgb="FF3F3F3F"/>
      </font>
      <numFmt numFmtId="166" formatCode="0.0%"/>
      <fill>
        <patternFill patternType="solid">
          <fgColor indexed="64"/>
          <bgColor rgb="FFF2F2F2"/>
        </patternFill>
      </fill>
      <border diagonalUp="0" diagonalDown="0">
        <left style="thin">
          <color rgb="FF3F3F3F"/>
        </left>
        <right style="thin">
          <color rgb="FF3F3F3F"/>
        </right>
        <top style="thin">
          <color rgb="FF3F3F3F"/>
        </top>
        <bottom style="thin">
          <color rgb="FF3F3F3F"/>
        </bottom>
        <vertical/>
        <horizontal/>
      </border>
    </dxf>
    <dxf>
      <numFmt numFmtId="164" formatCode="_ * #,##0_ ;_ * \-#,##0_ ;_ * &quot;-&quot;??_ ;_ @_ "/>
    </dxf>
    <dxf>
      <numFmt numFmtId="0" formatCode="General"/>
      <alignment horizontal="general" vertical="bottom" textRotation="0" wrapText="0" indent="0" justifyLastLine="0" shrinkToFit="0" readingOrder="0"/>
    </dxf>
    <dxf>
      <numFmt numFmtId="0" formatCode="General"/>
      <alignment horizontal="general" vertical="bottom" textRotation="0" wrapText="1" indent="0" justifyLastLine="0" shrinkToFit="0" readingOrder="0"/>
    </dxf>
    <dxf>
      <numFmt numFmtId="164" formatCode="_ * #,##0_ ;_ * \-#,##0_ ;_ * &quot;-&quot;??_ ;_ @_ "/>
    </dxf>
    <dxf>
      <numFmt numFmtId="164" formatCode="_ * #,##0_ ;_ * \-#,##0_ ;_ * &quot;-&quot;??_ ;_ @_ "/>
    </dxf>
    <dxf>
      <font>
        <b val="0"/>
      </font>
    </dxf>
    <dxf>
      <font>
        <b val="0"/>
      </font>
    </dxf>
    <dxf>
      <font>
        <b val="0"/>
      </font>
    </dxf>
    <dxf>
      <font>
        <b val="0"/>
      </font>
    </dxf>
    <dxf>
      <font>
        <b val="0"/>
      </font>
    </dxf>
    <dxf>
      <font>
        <b val="0"/>
      </font>
    </dxf>
    <dxf>
      <font>
        <b val="0"/>
      </font>
    </dxf>
    <dxf>
      <font>
        <b val="0"/>
      </font>
    </dxf>
    <dxf>
      <font>
        <b val="0"/>
      </font>
    </dxf>
    <dxf>
      <numFmt numFmtId="164" formatCode="_ * #,##0_ ;_ * \-#,##0_ ;_ * &quot;-&quot;??_ ;_ @_ "/>
    </dxf>
    <dxf>
      <numFmt numFmtId="164" formatCode="_ * #,##0_ ;_ * \-#,##0_ ;_ * &quot;-&quot;??_ ;_ @_ "/>
    </dxf>
    <dxf>
      <numFmt numFmtId="164" formatCode="_ * #,##0_ ;_ * \-#,##0_ ;_ * &quot;-&quot;??_ ;_ @_ "/>
    </dxf>
    <dxf>
      <font>
        <b val="0"/>
      </font>
    </dxf>
    <dxf>
      <font>
        <b val="0"/>
      </font>
    </dxf>
    <dxf>
      <font>
        <b val="0"/>
      </font>
    </dxf>
    <dxf>
      <font>
        <b val="0"/>
      </font>
    </dxf>
    <dxf>
      <numFmt numFmtId="164" formatCode="_ * #,##0_ ;_ * \-#,##0_ ;_ * &quot;-&quot;??_ ;_ @_ "/>
    </dxf>
    <dxf>
      <numFmt numFmtId="164" formatCode="_ * #,##0_ ;_ * \-#,##0_ ;_ * &quot;-&quot;??_ ;_ @_ "/>
    </dxf>
    <dxf>
      <numFmt numFmtId="164" formatCode="_ * #,##0_ ;_ * \-#,##0_ ;_ * &quot;-&quot;??_ ;_ @_ "/>
    </dxf>
    <dxf>
      <numFmt numFmtId="164" formatCode="_ * #,##0_ ;_ * \-#,##0_ ;_ * &quot;-&quot;??_ ;_ @_ "/>
    </dxf>
    <dxf>
      <numFmt numFmtId="164" formatCode="_ * #,##0_ ;_ * \-#,##0_ ;_ * &quot;-&quot;??_ ;_ @_ "/>
    </dxf>
    <dxf>
      <numFmt numFmtId="164" formatCode="_ * #,##0_ ;_ * \-#,##0_ ;_ * &quot;-&quot;??_ ;_ @_ "/>
    </dxf>
    <dxf>
      <numFmt numFmtId="164" formatCode="_ * #,##0_ ;_ * \-#,##0_ ;_ * &quot;-&quot;??_ ;_ @_ "/>
    </dxf>
    <dxf>
      <border outline="0">
        <right style="thin">
          <color rgb="FF3F3F3F"/>
        </right>
      </border>
    </dxf>
    <dxf>
      <border outline="0">
        <bottom style="thin">
          <color theme="5" tint="0.39997558519241921"/>
        </bottom>
      </border>
    </dxf>
    <dxf>
      <font>
        <b/>
        <i val="0"/>
        <strike val="0"/>
        <condense val="0"/>
        <extend val="0"/>
        <outline val="0"/>
        <shadow val="0"/>
        <u val="none"/>
        <vertAlign val="baseline"/>
        <sz val="11"/>
        <color theme="0"/>
        <name val="Calibri"/>
        <family val="2"/>
        <scheme val="none"/>
      </font>
      <fill>
        <patternFill patternType="solid">
          <fgColor theme="5"/>
          <bgColor theme="5"/>
        </patternFill>
      </fill>
    </dxf>
    <dxf>
      <numFmt numFmtId="164" formatCode="_ * #,##0_ ;_ * \-#,##0_ ;_ * &quot;-&quot;??_ ;_ @_ "/>
    </dxf>
    <dxf>
      <border outline="0">
        <bottom style="thin">
          <color theme="5" tint="0.39997558519241921"/>
        </bottom>
      </border>
    </dxf>
    <dxf>
      <font>
        <b/>
        <i val="0"/>
        <strike val="0"/>
        <condense val="0"/>
        <extend val="0"/>
        <outline val="0"/>
        <shadow val="0"/>
        <u val="none"/>
        <vertAlign val="baseline"/>
        <sz val="11"/>
        <color theme="0"/>
        <name val="Calibri"/>
        <family val="2"/>
        <scheme val="none"/>
      </font>
      <fill>
        <patternFill patternType="solid">
          <fgColor theme="5"/>
          <bgColor theme="5"/>
        </patternFill>
      </fill>
    </dxf>
    <dxf>
      <numFmt numFmtId="164" formatCode="_ * #,##0_ ;_ * \-#,##0_ ;_ * &quot;-&quot;??_ ;_ @_ "/>
    </dxf>
    <dxf>
      <border outline="0">
        <top style="thin">
          <color theme="5" tint="0.39997558519241921"/>
        </top>
      </border>
    </dxf>
    <dxf>
      <border outline="0">
        <bottom style="thin">
          <color theme="5" tint="0.39997558519241921"/>
        </bottom>
      </border>
    </dxf>
    <dxf>
      <font>
        <b/>
        <i val="0"/>
        <strike val="0"/>
        <condense val="0"/>
        <extend val="0"/>
        <outline val="0"/>
        <shadow val="0"/>
        <u val="none"/>
        <vertAlign val="baseline"/>
        <sz val="11"/>
        <color theme="0"/>
        <name val="Calibri"/>
        <family val="2"/>
        <scheme val="none"/>
      </font>
      <fill>
        <patternFill patternType="solid">
          <fgColor theme="5"/>
          <bgColor theme="5"/>
        </patternFill>
      </fill>
    </dxf>
    <dxf>
      <numFmt numFmtId="165" formatCode="_ * #,##0.0_ ;_ * \-#,##0.0_ ;_ * &quot;-&quot;??_ ;_ @_ "/>
      <border outline="0">
        <left style="thin">
          <color rgb="FF7F7F7F"/>
        </left>
      </border>
    </dxf>
    <dxf>
      <font>
        <b val="0"/>
        <i val="0"/>
        <strike val="0"/>
        <condense val="0"/>
        <extend val="0"/>
        <outline val="0"/>
        <shadow val="0"/>
        <u val="none"/>
        <vertAlign val="baseline"/>
        <sz val="11"/>
        <color rgb="FF3F3F76"/>
        <name val="Calibri"/>
        <family val="2"/>
        <scheme val="minor"/>
      </font>
      <numFmt numFmtId="165" formatCode="_ * #,##0.0_ ;_ * \-#,##0.0_ ;_ * &quot;-&quot;??_ ;_ @_ "/>
      <fill>
        <patternFill patternType="solid">
          <fgColor indexed="64"/>
          <bgColor rgb="FFFFCC99"/>
        </patternFill>
      </fill>
      <border diagonalUp="0" diagonalDown="0">
        <left style="thin">
          <color rgb="FF7F7F7F"/>
        </left>
        <right style="thin">
          <color rgb="FF7F7F7F"/>
        </right>
        <top style="thin">
          <color rgb="FF7F7F7F"/>
        </top>
        <bottom style="thin">
          <color rgb="FF7F7F7F"/>
        </bottom>
        <vertical/>
        <horizontal/>
      </border>
    </dxf>
    <dxf>
      <numFmt numFmtId="165" formatCode="_ * #,##0.0_ ;_ * \-#,##0.0_ ;_ * &quot;-&quot;??_ ;_ @_ "/>
      <border outline="0">
        <right style="thin">
          <color rgb="FF7F7F7F"/>
        </right>
      </border>
    </dxf>
    <dxf>
      <border outline="0">
        <right style="thin">
          <color rgb="FF7F7F7F"/>
        </right>
      </border>
    </dxf>
    <dxf>
      <font>
        <b/>
        <i val="0"/>
        <strike val="0"/>
        <condense val="0"/>
        <extend val="0"/>
        <outline val="0"/>
        <shadow val="0"/>
        <u val="none"/>
        <vertAlign val="baseline"/>
        <sz val="11"/>
        <color theme="1"/>
        <name val="Calibri"/>
        <family val="2"/>
        <scheme val="none"/>
      </font>
    </dxf>
    <dxf>
      <border outline="0">
        <left style="thin">
          <color rgb="FF7F7F7F"/>
        </left>
      </border>
    </dxf>
    <dxf>
      <numFmt numFmtId="164" formatCode="_ * #,##0_ ;_ * \-#,##0_ ;_ * &quot;-&quot;??_ ;_ @_ "/>
      <border outline="0">
        <left style="thin">
          <color rgb="FF7F7F7F"/>
        </left>
      </border>
    </dxf>
    <dxf>
      <numFmt numFmtId="165" formatCode="_ * #,##0.0_ ;_ * \-#,##0.0_ ;_ * &quot;-&quot;??_ ;_ @_ "/>
      <border outline="0">
        <right style="thin">
          <color rgb="FF7F7F7F"/>
        </right>
      </border>
    </dxf>
    <dxf>
      <border outline="0">
        <right style="thin">
          <color rgb="FF7F7F7F"/>
        </right>
      </border>
    </dxf>
    <dxf>
      <font>
        <b/>
        <i val="0"/>
        <strike val="0"/>
        <condense val="0"/>
        <extend val="0"/>
        <outline val="0"/>
        <shadow val="0"/>
        <u val="none"/>
        <vertAlign val="baseline"/>
        <sz val="11"/>
        <color theme="1"/>
        <name val="Calibri"/>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F9CC62B-2D72-412A-BF8B-227E0D81913A}" name="Input_Werkgroep" displayName="Input_Werkgroep" ref="B6:E7" totalsRowShown="0">
  <autoFilter ref="B6:E7" xr:uid="{1F9CC62B-2D72-412A-BF8B-227E0D81913A}"/>
  <sortState xmlns:xlrd2="http://schemas.microsoft.com/office/spreadsheetml/2017/richdata2" ref="B7:E7">
    <sortCondition ref="D6:D7"/>
  </sortState>
  <tableColumns count="4">
    <tableColumn id="1" xr3:uid="{72CA4AE0-F626-4AA8-96C2-6DCB6CF7939E}" name="Zorgactiviteitcode"/>
    <tableColumn id="2" xr3:uid="{18E2F302-C377-4553-B8FA-70F214874DD4}" name="Zorgactiviteit">
      <calculatedColumnFormula>IFERROR(_xlfn.XLOOKUP(Input_Werkgroep[[#This Row],[Zorgactiviteitcode]], I_OpenDIS_ZGA[Zorgactiviteitcode], I_OpenDIS_ZGA[zga_oms]),"")</calculatedColumnFormula>
    </tableColumn>
    <tableColumn id="3" xr3:uid="{C1B0CF07-13B0-4604-B834-327AB620AFBA}" name="Zorgprofielklasse">
      <calculatedColumnFormula>IFERROR(_xlfn.XLOOKUP(Input_Werkgroep[[#This Row],[Zorgactiviteitcode]], I_OpenDIS_ZGA[Zorgactiviteitcode], I_OpenDIS_ZGA[Zorgprofielklasse]),"")</calculatedColumnFormula>
    </tableColumn>
    <tableColumn id="4" xr3:uid="{DB5D759C-3FF2-4840-8505-8D22A06E6240}" name="Type activiteit" dataCellStyle="Input"/>
  </tableColumns>
  <tableStyleInfo name="TableStyleMedium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6D11DAE-DE42-4EED-A8F7-11382E1E6AFF}" name="I_OpenDIS_ZPR" displayName="I_OpenDIS_ZPR" ref="B5:S6" totalsRowShown="0">
  <autoFilter ref="B5:S6" xr:uid="{86D11DAE-DE42-4EED-A8F7-11382E1E6AFF}"/>
  <sortState xmlns:xlrd2="http://schemas.microsoft.com/office/spreadsheetml/2017/richdata2" ref="B6:S6">
    <sortCondition ref="P5:P6"/>
  </sortState>
  <tableColumns count="18">
    <tableColumn id="1" xr3:uid="{8C6B871D-F19D-4812-B359-C886BB7CA87D}" name="Jaar"/>
    <tableColumn id="21" xr3:uid="{99DDFCC3-31FF-485A-8173-E7EED25B717A}" name="Specialismecode"/>
    <tableColumn id="15" xr3:uid="{95D8EFDD-646E-494B-AB59-84A05B9A72A9}" name="Specialisme"/>
    <tableColumn id="22" xr3:uid="{19C7F3FC-B57D-475E-8417-609AECAACE20}" name="Diagnosecode"/>
    <tableColumn id="13" xr3:uid="{660698AD-6513-49B9-AD37-728B744D95D8}" name="Diagnose"/>
    <tableColumn id="23" xr3:uid="{0A3603BA-3C04-414D-A066-AB333C3DAC93}" name="Zorgproductcode"/>
    <tableColumn id="14" xr3:uid="{9CE024F5-483B-4176-8E55-1BD8B21F609C}" name="Zorgproduct - Omschrijving latijn"/>
    <tableColumn id="16" xr3:uid="{7DA1CD58-DCA7-4546-BF42-BD0D872E52D1}" name="Zorgproduct - Omschrijving consument"/>
    <tableColumn id="5" xr3:uid="{DC18B41C-AB0F-4DE9-9B8A-A2F01082532A}" name="fct_aantal_pat_per_zpr" dataDxfId="41" dataCellStyle="Input"/>
    <tableColumn id="6" xr3:uid="{05D59CE4-FC67-4C2F-8C2E-2D78431FC4CA}" name="fct_aantal_sbt_per_zpr" dataDxfId="40" dataCellStyle="Input"/>
    <tableColumn id="7" xr3:uid="{53DDFBEB-57BF-4B07-A8C9-90FFB58869C2}" name="fct_aantal_pat_per_dia" dataDxfId="39" dataCellStyle="Input"/>
    <tableColumn id="8" xr3:uid="{35E3DE33-0879-40E6-A076-AEE23586C3C9}" name="fct_aantal_sbt_per_dia" dataDxfId="38" dataCellStyle="Input"/>
    <tableColumn id="9" xr3:uid="{0B54B5A3-F710-4886-B1BF-07FD2625472E}" name="fct_aantal_pat_per_spc" dataDxfId="37" dataCellStyle="Input"/>
    <tableColumn id="10" xr3:uid="{379D0A35-095E-49D8-8F2F-9E6D2F19EB21}" name="fct_aantal_sbt_per_spc" dataDxfId="36" dataCellStyle="Input"/>
    <tableColumn id="17" xr3:uid="{83E03D44-2217-4153-BB61-D95C73158C06}" name="SPC_DIA" dataDxfId="35" dataCellStyle="Note">
      <calculatedColumnFormula>I_OpenDIS_ZPR[[#This Row],[Specialismecode]]&amp;"_"&amp;I_OpenDIS_ZPR[[#This Row],[Diagnosecode]]</calculatedColumnFormula>
    </tableColumn>
    <tableColumn id="18" xr3:uid="{E2C8E3FD-3510-457D-8F62-11C7B248CBF1}" name="SPC_DIA_ZPR" dataDxfId="34" dataCellStyle="Note">
      <calculatedColumnFormula>I_OpenDIS_ZPR[[#This Row],[Specialismecode]]&amp;"_"&amp;I_OpenDIS_ZPR[[#This Row],[Diagnosecode]]&amp;"_"&amp;I_OpenDIS_ZPR[[#This Row],[Zorgproductcode]]</calculatedColumnFormula>
    </tableColumn>
    <tableColumn id="19" xr3:uid="{0900EFE3-146D-4B2A-ABA1-CFFB7AD44724}" name="Rank zpr binnen spc_dia" dataDxfId="33" dataCellStyle="Note">
      <calculatedColumnFormula>COUNTIFS(I_OpenDIS_ZPR[SPC_DIA], I_OpenDIS_ZPR[[#This Row],[SPC_DIA]], I_OpenDIS_ZPR[fct_aantal_sbt_per_zpr], "&gt;" &amp; I_OpenDIS_ZPR[[#This Row],[fct_aantal_sbt_per_zpr]]) + COUNTIFS($P$5:P5, I_OpenDIS_ZPR[[#This Row],[SPC_DIA]], $K$5:K5, I_OpenDIS_ZPR[[#This Row],[fct_aantal_sbt_per_zpr]]) + 1</calculatedColumnFormula>
    </tableColumn>
    <tableColumn id="20" xr3:uid="{B539AFD2-B08F-47A9-9DD5-02B49785D09C}" name="Spc_dia_rank" dataDxfId="32" dataCellStyle="Note">
      <calculatedColumnFormula>I_OpenDIS_ZPR[[#This Row],[SPC_DIA]]&amp;"_"&amp;I_OpenDIS_ZPR[[#This Row],[Rank zpr binnen spc_dia]]</calculatedColumnFormula>
    </tableColumn>
  </tableColumns>
  <tableStyleInfo name="TableStyleMedium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555D4D9-27DC-4371-BD82-C8C077139176}" name="I_OpenDIS_ZGA" displayName="I_OpenDIS_ZGA" ref="B5:AE6" totalsRowShown="0">
  <autoFilter ref="B5:AE6" xr:uid="{6555D4D9-27DC-4371-BD82-C8C077139176}"/>
  <sortState xmlns:xlrd2="http://schemas.microsoft.com/office/spreadsheetml/2017/richdata2" ref="B6:W6">
    <sortCondition ref="Q5:Q6"/>
  </sortState>
  <tableColumns count="30">
    <tableColumn id="1" xr3:uid="{D261B94A-0B58-462E-ABF3-35DCCF65E64A}" name="Jaar"/>
    <tableColumn id="2" xr3:uid="{EB73B984-D7A3-4BAB-980F-CB3FDC7DD7CD}" name="Specialismecode"/>
    <tableColumn id="10" xr3:uid="{AC2D2C5C-B591-4EFF-8C01-C1784FF24004}" name="Specialisme"/>
    <tableColumn id="3" xr3:uid="{4C5D534D-1B88-4DC0-BFAD-5F02BFB24EDE}" name="Diagnosecode"/>
    <tableColumn id="5" xr3:uid="{9F66A307-647C-4D38-8E4E-7F1D65ADE7B6}" name="Diagnose"/>
    <tableColumn id="4" xr3:uid="{56C76B64-F892-4958-B99F-1C3011B67833}" name="Zorgproductcode"/>
    <tableColumn id="9" xr3:uid="{467530D0-3E8D-442C-B5F1-FD08948701CD}" name="Zorgproduct - Omschrijving latijn"/>
    <tableColumn id="13" xr3:uid="{F7D7979F-1E9F-49D7-B823-18363CB7016B}" name="Zorgactiviteitcode"/>
    <tableColumn id="11" xr3:uid="{DD60B95E-870C-4E98-AF20-134003464927}" name="zga_oms"/>
    <tableColumn id="22" xr3:uid="{FE897779-9E67-458A-82BC-BDF3B88A8C77}" name="Zorgprofielklassecode"/>
    <tableColumn id="12" xr3:uid="{23760B23-49EC-4BF8-94D4-89562D3512CA}" name="Zorgprofielklasse"/>
    <tableColumn id="6" xr3:uid="{53C4D2E6-34D9-4342-8DAB-71C54DA3E4E7}" name="fct_aantal_pat" dataDxfId="31" dataCellStyle="Input"/>
    <tableColumn id="7" xr3:uid="{A8B90D79-5F0E-401C-A5C3-8B9FFF941704}" name="fct_aantal_sbt" dataDxfId="30" dataCellStyle="Input"/>
    <tableColumn id="8" xr3:uid="{24BC18E1-4BBD-461D-A647-4DCD30C37558}" name="fct_aantal_zga" dataDxfId="29" dataCellStyle="Input"/>
    <tableColumn id="14" xr3:uid="{141C10C7-DEB7-4DF3-98D2-40B01C2928BD}" name="SPC_ZGA" dataDxfId="28" dataCellStyle="Note">
      <calculatedColumnFormula>I_OpenDIS_ZGA[[#This Row],[Specialismecode]]&amp;"_"&amp;I_OpenDIS_ZGA[[#This Row],[Zorgactiviteitcode]]</calculatedColumnFormula>
    </tableColumn>
    <tableColumn id="15" xr3:uid="{B6DDF734-B3FF-48A4-BC3D-B8C08934AA3C}" name="SPC_DIA" dataDxfId="27" dataCellStyle="Note">
      <calculatedColumnFormula>I_OpenDIS_ZGA[[#This Row],[Specialismecode]]&amp;"_"&amp;I_OpenDIS_ZGA[[#This Row],[Diagnosecode]]</calculatedColumnFormula>
    </tableColumn>
    <tableColumn id="16" xr3:uid="{AC7B5FB9-1999-444F-8419-9E18E16026C2}" name="SPC_ZPF" dataDxfId="26" dataCellStyle="Note">
      <calculatedColumnFormula>I_OpenDIS_ZGA[[#This Row],[Specialismecode]]&amp;"_"&amp;I_OpenDIS_ZGA[[#This Row],[Zorgprofielklassecode]]</calculatedColumnFormula>
    </tableColumn>
    <tableColumn id="17" xr3:uid="{DE6D0931-AFFD-4B13-B6E5-EB220195C26A}" name="Rank_ZGA_in_SPC_ZPF" dataDxfId="25" dataCellStyle="Note">
      <calculatedColumnFormula>COUNTIFS(I_OpenDIS_ZGA[SPC_ZPF], I_OpenDIS_ZGA[[#This Row],[SPC_ZPF]], I_OpenDIS_ZGA[fct_aantal_zga], "&gt;" &amp; I_OpenDIS_ZGA[[#This Row],[fct_aantal_zga]]) + COUNTIFS($R$5:R5, I_OpenDIS_ZGA[[#This Row],[SPC_ZPF]], $O$5:O5, I_OpenDIS_ZGA[[#This Row],[fct_aantal_zga]]) + 1</calculatedColumnFormula>
    </tableColumn>
    <tableColumn id="18" xr3:uid="{2096748B-0086-4962-B5F8-17FCD29B90DB}" name="SPC_ZPF_Rank" dataDxfId="24" dataCellStyle="Note">
      <calculatedColumnFormula>I_OpenDIS_ZGA[[#This Row],[SPC_ZPF]]&amp;"_"&amp;I_OpenDIS_ZGA[[#This Row],[Rank_ZGA_in_SPC_ZPF]]</calculatedColumnFormula>
    </tableColumn>
    <tableColumn id="19" xr3:uid="{7C28DBF8-9215-408A-BD6B-E0A2EF077009}" name="Rank_ZGA_in_SPC_DIA" dataDxfId="23" dataCellStyle="Note">
      <calculatedColumnFormula>COUNTIFS(I_OpenDIS_ZGA[SPC_DIA], I_OpenDIS_ZGA[[#This Row],[SPC_DIA]], I_OpenDIS_ZGA[fct_aantal_zga], "&gt;" &amp; I_OpenDIS_ZGA[[#This Row],[fct_aantal_zga]]) + COUNTIFS($Q$5:Q5, I_OpenDIS_ZGA[[#This Row],[SPC_DIA]], $O$5:O5, I_OpenDIS_ZGA[[#This Row],[fct_aantal_zga]]) + 1</calculatedColumnFormula>
    </tableColumn>
    <tableColumn id="20" xr3:uid="{CB42CBB3-8EAD-4F8A-9507-BCE21A652C69}" name="SPC_DIA_rank" dataDxfId="22" dataCellStyle="Note">
      <calculatedColumnFormula>I_OpenDIS_ZGA[[#This Row],[SPC_DIA]]&amp;"_"&amp;I_OpenDIS_ZGA[[#This Row],[Rank_ZGA_in_SPC_DIA]]</calculatedColumnFormula>
    </tableColumn>
    <tableColumn id="21" xr3:uid="{E126F746-B9DB-4DFB-B71F-D0C9F3123628}" name="ZPF_Samengevoegd" dataDxfId="21" dataCellStyle="Note"/>
    <tableColumn id="29" xr3:uid="{DEE479A9-A857-478B-B006-3074116560F7}" name="Rank ZGA in SPC" dataDxfId="20" dataCellStyle="Note">
      <calculatedColumnFormula>_xlfn.XLOOKUP(I_OpenDIS_ZGA[[#This Row],[Zorgactiviteitcode]], Ranking_Zorgactiviteiten[Zorgactiviteitcode], Ranking_Zorgactiviteiten[Rank diagnose])</calculatedColumnFormula>
    </tableColumn>
    <tableColumn id="30" xr3:uid="{A971B498-B9F6-4B28-A7ED-E5A99F723F04}" name="Wetenschappelijk onderzoek?" dataCellStyle="Calculation">
      <calculatedColumnFormula>IF(COUNTIFS(Table11[Type], "Zorgactiviteit", Table11[Code], I_OpenDIS_ZGA[[#This Row],[Zorgactiviteitcode]])&gt;0, 1, 0)</calculatedColumnFormula>
    </tableColumn>
    <tableColumn id="28" xr3:uid="{E1CE8327-EA76-4515-B5D6-302690EAA16B}" name="Relevante input?" dataCellStyle="Calculation">
      <calculatedColumnFormula>IF(OR(I_OpenDIS_ZGA[[#This Row],[Rank_ZGA_in_SPC_ZPF]]&lt;=10, I_OpenDIS_ZGA[[#This Row],[Rank_ZGA_in_SPC_DIA]]&lt;=10, I_OpenDIS_ZGA[[#This Row],[Rank ZGA in SPC]]&lt;=50), 1, 0)</calculatedColumnFormula>
    </tableColumn>
    <tableColumn id="23" xr3:uid="{DC4663D4-5FED-4453-B66F-CE19826C6CF0}" name="Type activiteit" dataCellStyle="Linked Cell">
      <calculatedColumnFormula>IF(I_OpenDIS_ZGA[[#This Row],[Relevante input?]]=0, "n.v.t.", _xlfn.XLOOKUP(I_OpenDIS_ZGA[[#This Row],[Zorgactiviteitcode]], Input_Werkgroep[Zorgactiviteitcode], Input_Werkgroep[Type activiteit]))</calculatedColumnFormula>
    </tableColumn>
    <tableColumn id="24" xr3:uid="{2C139086-C4CB-4A63-99F3-6FD513A99FBC}" name="CO2-uitstoot per activiteit" dataCellStyle="Output">
      <calculatedColumnFormula>IFERROR(IF(I_OpenDIS_ZGA[[#This Row],[Wetenschappelijk onderzoek?]]=1, AVERAGEIFS(Table11[CO2-uitstoot], Table11[Type], "Zorgactiviteit", Table11[Code], I_OpenDIS_ZGA[[#This Row],[Zorgactiviteitcode]]), IF(I_OpenDIS_ZGA[[#This Row],[Relevante input?]]=0, "n.v.t.", _xlfn.XLOOKUP(I_OpenDIS_ZGA[[#This Row],[Type activiteit]], Bouwblok_activiteit[Type activiteit], Bouwblok_activiteit[CO2-uitstoot]))), IF(I_OpenDIS_ZGA[[#This Row],[Relevante input?]]=0, "n.v.t.", _xlfn.XLOOKUP(I_OpenDIS_ZGA[[#This Row],[Type activiteit]], Bouwblok_activiteit[Type activiteit], Bouwblok_activiteit[CO2-uitstoot])))</calculatedColumnFormula>
    </tableColumn>
    <tableColumn id="25" xr3:uid="{852B5E73-10AD-4EE4-BF32-2747C9A74A7E}" name="CO2-uitstoot activiteit" dataDxfId="19" dataCellStyle="Output">
      <calculatedColumnFormula>IF(I_OpenDIS_ZGA[[#This Row],[Relevante input?]]=0, "n.v.t.", I_OpenDIS_ZGA[[#This Row],[fct_aantal_zga]]*I_OpenDIS_ZGA[[#This Row],[CO2-uitstoot per activiteit]])</calculatedColumnFormula>
    </tableColumn>
    <tableColumn id="26" xr3:uid="{215BED06-89B3-451C-905A-8B72AD9AC65B}" name="Afval per activiteit" dataCellStyle="Output">
      <calculatedColumnFormula>IFERROR(IF(I_OpenDIS_ZGA[[#This Row],[Wetenschappelijk onderzoek?]]=1, AVERAGEIFS(Table11[Afval], Table11[Type], "Zorgactiviteit", Table11[Code], I_OpenDIS_ZGA[[#This Row],[Zorgactiviteitcode]]), IF(I_OpenDIS_ZGA[[#This Row],[Relevante input?]]=0, "n.v.t.", _xlfn.XLOOKUP(I_OpenDIS_ZGA[[#This Row],[Type activiteit]], Bouwblok_activiteit[Type activiteit], Bouwblok_activiteit[Afval]))), IF(I_OpenDIS_ZGA[[#This Row],[Relevante input?]]=0, "n.v.t.", _xlfn.XLOOKUP(I_OpenDIS_ZGA[[#This Row],[Type activiteit]], Bouwblok_activiteit[Type activiteit], Bouwblok_activiteit[Afval])))</calculatedColumnFormula>
    </tableColumn>
    <tableColumn id="27" xr3:uid="{FB338A80-34B2-41AE-912D-06BEC6216FA3}" name="Afval activiteit" dataDxfId="18" dataCellStyle="Output">
      <calculatedColumnFormula>IF(I_OpenDIS_ZGA[[#This Row],[Relevante input?]]=0, "n.v.t.", I_OpenDIS_ZGA[[#This Row],[fct_aantal_zga]]*I_OpenDIS_ZGA[[#This Row],[Afval per activiteit]])</calculatedColumnFormula>
    </tableColumn>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4BDA499-1944-42FA-A9B6-F3085FC093EE}" name="Table11" displayName="Table11" ref="B7:G8" totalsRowShown="0" headerRowDxfId="62">
  <autoFilter ref="B7:G8" xr:uid="{34BDA499-1944-42FA-A9B6-F3085FC093EE}"/>
  <tableColumns count="6">
    <tableColumn id="1" xr3:uid="{E4D529CC-4035-4F45-857A-FEA83DD7C81E}" name="Type"/>
    <tableColumn id="2" xr3:uid="{74DA1B9E-6296-44FC-B55A-4399BE4282DA}" name="Code"/>
    <tableColumn id="3" xr3:uid="{6F37B491-D08F-4341-ACFF-3C5D623166D5}" name="Omschrijving" dataDxfId="61"/>
    <tableColumn id="4" xr3:uid="{FB8CC321-E102-4837-B66B-97F857AEF045}" name="CO2-uitstoot" dataDxfId="60" dataCellStyle="Comma"/>
    <tableColumn id="5" xr3:uid="{1BC5D41D-1BC0-4934-AA17-1B970A9C796F}" name="Afval" dataDxfId="59" dataCellStyle="Comma"/>
    <tableColumn id="6" xr3:uid="{74A2278C-0364-4312-9DC3-3E2563B0ED85}" name="Bron" dataDxfId="58" dataCellStyle="Note"/>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99B00DC-D257-4F75-8E23-3072A28B7772}" name="TC_DIA" displayName="TC_DIA" ref="B23:H33" totalsRowShown="0" headerRowCellStyle="Normal">
  <autoFilter ref="B23:H33" xr:uid="{399B00DC-D257-4F75-8E23-3072A28B7772}"/>
  <tableColumns count="7">
    <tableColumn id="1" xr3:uid="{6F22C9F5-BE04-4B93-8A70-2D0C433BC0B7}" name="Rank"/>
    <tableColumn id="11" xr3:uid="{A4A4B3B4-B38F-4880-9195-C3B2972CC6EC}" name="Diagnosecode" dataDxfId="17">
      <calculatedColumnFormula>IFERROR(IFERROR(IFERROR(IFERROR(IFERROR(IFERROR(IFERROR(IFERROR(IFERROR(IFERROR(_xlfn.XLOOKUP(TC_DIA[[#This Row],[Rank]], Ranking_Diagnoses[Rank diagnose], Ranking_Diagnoses[Diagnosecode]),""),""),""),""),""),""),""),""),""),"")</calculatedColumnFormula>
    </tableColumn>
    <tableColumn id="2" xr3:uid="{8AD6CEB0-7035-42F6-B9A1-FECD56C701F7}" name="Diagnose" dataDxfId="16">
      <calculatedColumnFormula>IFERROR(IFERROR(IFERROR(IFERROR(IFERROR(IFERROR(IFERROR(IFERROR(IFERROR(IFERROR(_xlfn.XLOOKUP(TC_DIA[[#This Row],[Diagnosecode]], Ranking_Diagnoses[Diagnosecode], Ranking_Diagnoses[Diagnose]),""),""),""),""),""),""),""),""),""),"")</calculatedColumnFormula>
    </tableColumn>
    <tableColumn id="3" xr3:uid="{A27AECC4-8ADC-42DC-8338-26E9BFD6F27D}" name="Aantal subtrajecten" dataDxfId="15" dataCellStyle="Output">
      <calculatedColumnFormula>IFERROR(IFERROR(IFERROR(IFERROR(IFERROR(IFERROR(IFERROR(IFERROR(IFERROR(IFERROR(_xlfn.XLOOKUP(TC_DIA[[#This Row],[Diagnosecode]], Ranking_Diagnoses[Diagnosecode], Ranking_Diagnoses[Fct_aantal_sbt_per_dia]),""),""),""),""),""),""),""),""),""),"")</calculatedColumnFormula>
    </tableColumn>
    <tableColumn id="6" xr3:uid="{94E95ECD-F4DA-44F1-BBE8-9F12178B0B56}" name="Dekking" dataDxfId="14" dataCellStyle="Percent">
      <calculatedColumnFormula>IFERROR(IFERROR(IFERROR(IFERROR(IFERROR(IFERROR(IFERROR(IFERROR(IFERROR(IFERROR(SUMIFS(I_OpenDIS_ZGA[fct_aantal_zga], I_OpenDIS_ZGA[Diagnosecode], TC_DIA[[#This Row],[Diagnosecode]], I_OpenDIS_ZGA[Relevante input?], 1) / SUMIFS(I_OpenDIS_ZGA[fct_aantal_zga], I_OpenDIS_ZGA[Diagnosecode], TC_DIA[[#This Row],[Diagnosecode]]),""),""),""),""),""),""),""),""),""),"")</calculatedColumnFormula>
    </tableColumn>
    <tableColumn id="4" xr3:uid="{099525E2-4C62-47E0-89D6-B63EDABC3ED6}" name="KG CO2-uitstoot" dataDxfId="13" dataCellStyle="Output">
      <calculatedColumnFormula>IFERROR(IFERROR(IFERROR(IFERROR(IFERROR(IFERROR(IFERROR(IFERROR(IFERROR(IFERROR(SUMIFS(I_OpenDIS_ZGA[CO2-uitstoot activiteit], I_OpenDIS_ZGA[Diagnosecode], TC_DIA[[#This Row],[Diagnosecode]]) / TC_DIA[[#This Row],[Dekking]],""),""),""),""),""),""),""),""),""),"")</calculatedColumnFormula>
    </tableColumn>
    <tableColumn id="5" xr3:uid="{FB190E15-A7CA-47A9-BABF-824FEFDAD925}" name="KG Afval" dataDxfId="12" dataCellStyle="Output">
      <calculatedColumnFormula>IFERROR(IFERROR(IFERROR(IFERROR(IFERROR(IFERROR(IFERROR(IFERROR(IFERROR(IFERROR(SUMIFS(I_OpenDIS_ZGA[Afval activiteit], I_OpenDIS_ZGA[Diagnosecode], TC_DIA[[#This Row],[Diagnosecode]]) / TC_DIA[[#This Row],[Dekking]],""),""),""),""),""),""),""),""),""),"")</calculatedColumnFormula>
    </tableColumn>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1F223EB-FCA5-4640-99E1-DD841D4834DA}" name="TC_DIA8" displayName="TC_DIA8" ref="B42:H52" totalsRowShown="0" headerRowCellStyle="Normal">
  <autoFilter ref="B42:H52" xr:uid="{01F223EB-FCA5-4640-99E1-DD841D4834DA}"/>
  <tableColumns count="7">
    <tableColumn id="1" xr3:uid="{D32F56F2-844E-4FAE-94E5-E3BC4500572C}" name="Rank"/>
    <tableColumn id="11" xr3:uid="{8657D5E4-477C-4CB7-8F32-AC6128B347A4}" name="Zorgproductcode" dataDxfId="11">
      <calculatedColumnFormula>IFERROR(IFERROR(IFERROR(IFERROR(IFERROR(IFERROR(IFERROR(IFERROR(IFERROR(IFERROR(_xlfn.XLOOKUP(TC_DIA8[[#This Row],[Rank]], Ranking_Zorgproducten[Rank zorgproduct], Ranking_Zorgproducten[Zorgproductcode]),""),""),""),""),""),""),""),""),""),"")</calculatedColumnFormula>
    </tableColumn>
    <tableColumn id="2" xr3:uid="{FAAE2CD2-B061-4CBC-B7C1-FEE1EC3107E3}" name="Zorgproduct" dataDxfId="10">
      <calculatedColumnFormula>IFERROR(IFERROR(IFERROR(IFERROR(IFERROR(IFERROR(IFERROR(IFERROR(IFERROR(IFERROR(_xlfn.XLOOKUP(TC_DIA8[[#This Row],[Zorgproductcode]], I_OpenDIS_ZPR[Zorgproductcode], I_OpenDIS_ZPR[Zorgproduct - Omschrijving consument]),""),""),""),""),""),""),""),""),""),"")</calculatedColumnFormula>
    </tableColumn>
    <tableColumn id="3" xr3:uid="{4E90710D-9450-4F5E-B167-F63C16919133}" name="Aantal subtrajecten" dataDxfId="9" dataCellStyle="Output">
      <calculatedColumnFormula>IFERROR(IFERROR(IFERROR(IFERROR(IFERROR(IFERROR(IFERROR(IFERROR(IFERROR(IFERROR(_xlfn.XLOOKUP(TC_DIA8[[#This Row],[Zorgproductcode]], Ranking_Zorgproducten[Zorgproductcode], Ranking_Zorgproducten[Fct_aantal_sbt_per_zpr]),""),""),""),""),""),""),""),""),""),"")</calculatedColumnFormula>
    </tableColumn>
    <tableColumn id="6" xr3:uid="{9E0AB22B-7333-48D4-85BD-1141E10F7DAC}" name="Dekking" dataDxfId="8" dataCellStyle="Percent">
      <calculatedColumnFormula>IFERROR(IFERROR(IFERROR(IFERROR(IFERROR(IFERROR(IFERROR(IFERROR(IFERROR(IFERROR(SUMIFS(I_OpenDIS_ZGA[fct_aantal_zga], I_OpenDIS_ZGA[Zorgproductcode], TC_DIA8[[#This Row],[Zorgproductcode]], I_OpenDIS_ZGA[Relevante input?], 1) / SUMIFS(I_OpenDIS_ZGA[fct_aantal_zga], I_OpenDIS_ZGA[Zorgproductcode], TC_DIA8[[#This Row],[Zorgproductcode]]),""),""),""),""),""),""),""),""),""),"")</calculatedColumnFormula>
    </tableColumn>
    <tableColumn id="4" xr3:uid="{659C00DE-4E41-461A-AB5E-42C2EA69DE06}" name="KG CO2-uitstoot" dataDxfId="7" dataCellStyle="Output">
      <calculatedColumnFormula>IFERROR(IFERROR(IFERROR(IFERROR(IFERROR(IFERROR(IFERROR(IFERROR(IFERROR(IFERROR(SUMIFS(I_OpenDIS_ZGA[CO2-uitstoot activiteit], I_OpenDIS_ZGA[Zorgproductcode], TC_DIA8[[#This Row],[Zorgproductcode]]) / TC_DIA8[[#This Row],[Dekking]],""),""),""),""),""),""),""),""),""),"")</calculatedColumnFormula>
    </tableColumn>
    <tableColumn id="5" xr3:uid="{D2637A63-3218-4ED2-80CB-DA3DF072A423}" name="KG Afval" dataDxfId="6" dataCellStyle="Output">
      <calculatedColumnFormula>IFERROR(IFERROR(IFERROR(IFERROR(IFERROR(IFERROR(IFERROR(IFERROR(IFERROR(IFERROR(SUMIFS(I_OpenDIS_ZGA[Afval activiteit], I_OpenDIS_ZGA[Zorgproductcode], TC_DIA8[[#This Row],[Zorgproductcode]]) / TC_DIA8[[#This Row],[Dekking]],""),""),""),""),""),""),""),""),""),"")</calculatedColumnFormula>
    </tableColumn>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02FCFA7-D868-4FCF-B8CE-D224CDE03DCF}" name="TC_DIA811" displayName="TC_DIA811" ref="B61:H71" totalsRowShown="0" headerRowCellStyle="Normal">
  <autoFilter ref="B61:H71" xr:uid="{702FCFA7-D868-4FCF-B8CE-D224CDE03DCF}"/>
  <tableColumns count="7">
    <tableColumn id="1" xr3:uid="{EA921A7B-311D-4EA8-9817-C8C029CF4E3A}" name="Rank"/>
    <tableColumn id="11" xr3:uid="{92D0840C-C707-461B-A8EC-BBCFFE0F0C44}" name="Zorgactiviteitcode" dataDxfId="5">
      <calculatedColumnFormula>IFERROR(IFERROR(IFERROR(IFERROR(IFERROR(IFERROR(IFERROR(IFERROR(IFERROR(IFERROR(_xlfn.XLOOKUP(TC_DIA811[[#This Row],[Rank]], Ranking_Zorgactiviteiten[Rank diagnose], Ranking_Zorgactiviteiten[Zorgactiviteitcode]),""),""),""),""),""),""),""),""),""),"")</calculatedColumnFormula>
    </tableColumn>
    <tableColumn id="2" xr3:uid="{6F134165-FF4C-41C3-A32D-7EE29B13CDA0}" name="Zorgactiviteit" dataDxfId="4">
      <calculatedColumnFormula>IFERROR(IFERROR(IFERROR(IFERROR(IFERROR(IFERROR(IFERROR(IFERROR(IFERROR(IFERROR(_xlfn.XLOOKUP(TC_DIA811[[#This Row],[Zorgactiviteitcode]], Ranking_Zorgactiviteiten[Zorgactiviteitcode], Ranking_Zorgactiviteiten[Zorgactiviteit]),""),""),""),""),""),""),""),""),""),"")</calculatedColumnFormula>
    </tableColumn>
    <tableColumn id="3" xr3:uid="{D82CB1B6-7F7C-4344-89F7-1251A62BA6AF}" name="Aantal zorgactiviteiten" dataDxfId="3" dataCellStyle="Output">
      <calculatedColumnFormula>IFERROR(IFERROR(IFERROR(IFERROR(IFERROR(IFERROR(IFERROR(IFERROR(IFERROR(IFERROR(_xlfn.XLOOKUP(TC_DIA811[[#This Row],[Zorgactiviteitcode]], Ranking_Zorgactiviteiten[Zorgactiviteitcode], Ranking_Zorgactiviteiten[Fct_aantal_zga]),""),""),""),""),""),""),""),""),""),"")</calculatedColumnFormula>
    </tableColumn>
    <tableColumn id="6" xr3:uid="{EEA3CD47-8FF6-4FE8-85B6-8981325694BB}" name="Dekking" dataDxfId="2" dataCellStyle="Percent">
      <calculatedColumnFormula>IFERROR(IFERROR(IFERROR(IFERROR(IFERROR(IFERROR(IFERROR(IFERROR(IFERROR(IFERROR(SUMIFS(I_OpenDIS_ZGA[fct_aantal_zga], I_OpenDIS_ZGA[Zorgactiviteitcode], TC_DIA811[[#This Row],[Zorgactiviteitcode]], I_OpenDIS_ZGA[Relevante input?], 1) / SUMIFS(I_OpenDIS_ZGA[fct_aantal_zga], I_OpenDIS_ZGA[Zorgactiviteitcode], TC_DIA811[[#This Row],[Zorgactiviteitcode]]),""),""),""),""),""),""),""),""),""),"")</calculatedColumnFormula>
    </tableColumn>
    <tableColumn id="4" xr3:uid="{1112F25F-85F1-4A9A-B3CE-48C105EE35FD}" name="KG CO2-uitstoot" dataDxfId="1" dataCellStyle="Output">
      <calculatedColumnFormula>IFERROR(IFERROR(IFERROR(IFERROR(IFERROR(IFERROR(IFERROR(IFERROR(IFERROR(IFERROR(SUMIFS(I_OpenDIS_ZGA[CO2-uitstoot activiteit], I_OpenDIS_ZGA[Zorgactiviteitcode], TC_DIA811[[#This Row],[Zorgactiviteitcode]]) / TC_DIA811[[#This Row],[Dekking]],""),""),""),""),""),""),""),""),""),"")</calculatedColumnFormula>
    </tableColumn>
    <tableColumn id="5" xr3:uid="{F9B900AE-244C-4749-A2CB-49C17122E070}" name="KG Afval" dataDxfId="0" dataCellStyle="Output">
      <calculatedColumnFormula>IFERROR(IFERROR(IFERROR(IFERROR(IFERROR(IFERROR(IFERROR(IFERROR(IFERROR(IFERROR(SUMIFS(I_OpenDIS_ZGA[Afval activiteit], I_OpenDIS_ZGA[Zorgactiviteitcode], TC_DIA811[[#This Row],[Zorgactiviteitcode]]) / TC_DIA811[[#This Row],[Dekking]],""),""),""),""),""),""),""),""),""),"")</calculatedColumnFormula>
    </tableColumn>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78D14F2-E9FB-491C-910D-7B31DBC1BD9C}" name="Bouwblok_activiteit" displayName="Bouwblok_activiteit" ref="B4:F17" totalsRowShown="0" headerRowDxfId="57">
  <autoFilter ref="B4:F17" xr:uid="{178D14F2-E9FB-491C-910D-7B31DBC1BD9C}"/>
  <tableColumns count="5">
    <tableColumn id="1" xr3:uid="{D6997255-837E-4947-8F44-7486924613C7}" name="Type activiteit" dataDxfId="56"/>
    <tableColumn id="2" xr3:uid="{E4576426-8C90-4D2D-BE4A-93E33E94EA32}" name="CO2-uitstoot" dataDxfId="55" dataCellStyle="Comma"/>
    <tableColumn id="4" xr3:uid="{1D680565-B0BE-478A-B426-9C07EBC1AAEB}" name="Bron CO2" dataDxfId="54" dataCellStyle="Comma"/>
    <tableColumn id="3" xr3:uid="{0D5BF58B-3115-45DA-A1C4-3CC68570E5E8}" name="Afval" dataDxfId="53" dataCellStyle="Comma"/>
    <tableColumn id="5" xr3:uid="{B7573924-9D8E-4338-B4DD-20E7E1606E4A}" name="Bron afval" dataCellStyle="Input"/>
  </tableColumns>
  <tableStyleInfo name="TableStyleMedium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1F93F0A-2BCC-427D-8F57-D53BCFC43F61}" name="Ranking_Diagnoses" displayName="Ranking_Diagnoses" ref="B4:F5" totalsRowShown="0" headerRowDxfId="52" headerRowBorderDxfId="51" tableBorderDxfId="50">
  <autoFilter ref="B4:F5" xr:uid="{21F93F0A-2BCC-427D-8F57-D53BCFC43F61}"/>
  <sortState xmlns:xlrd2="http://schemas.microsoft.com/office/spreadsheetml/2017/richdata2" ref="B5:F5">
    <sortCondition descending="1" ref="E4:E5"/>
  </sortState>
  <tableColumns count="5">
    <tableColumn id="3" xr3:uid="{197BE71E-C367-4455-9EC4-E51E56D0E866}" name="Specialisme"/>
    <tableColumn id="4" xr3:uid="{952FE37C-F553-479B-8B5B-540A94938BD1}" name="Diagnosecode"/>
    <tableColumn id="5" xr3:uid="{F5A3C87B-FE94-4AF8-B764-C49E8EA04CEA}" name="Diagnose"/>
    <tableColumn id="6" xr3:uid="{E8BB1D91-44DC-4DB9-B7F7-E5ACA1545649}" name="Fct_aantal_sbt_per_dia" dataDxfId="49" dataCellStyle="Output">
      <calculatedColumnFormula>_xlfn.XLOOKUP(Ranking_Diagnoses[[#This Row],[Diagnosecode]], I_OpenDIS_ZPR[Diagnosecode], I_OpenDIS_ZPR[fct_aantal_sbt_per_dia])</calculatedColumnFormula>
    </tableColumn>
    <tableColumn id="7" xr3:uid="{089EE7FB-56A6-4914-A382-33A751E6DAA9}" name="Rank diagnose" dataCellStyle="Output">
      <calculatedColumnFormula>COUNTIFS(Ranking_Diagnoses[Specialisme], Ranking_Diagnoses[[#This Row],[Specialisme]], Ranking_Diagnoses[Fct_aantal_sbt_per_dia], "&gt;" &amp; Ranking_Diagnoses[[#This Row],[Fct_aantal_sbt_per_dia]]) + COUNTIFS($C$4:C4,#REF!, $E$4:E4, Ranking_Diagnoses[[#This Row],[Fct_aantal_sbt_per_dia]]) + 1</calculatedColumnFormula>
    </tableColumn>
  </tableColumns>
  <tableStyleInfo name="TableStyleMedium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416B743-92AE-4601-A45D-1F4152D90C3C}" name="Ranking_Zorgproducten" displayName="Ranking_Zorgproducten" ref="H4:L5" totalsRowShown="0" headerRowDxfId="48" headerRowBorderDxfId="47">
  <autoFilter ref="H4:L5" xr:uid="{4416B743-92AE-4601-A45D-1F4152D90C3C}"/>
  <sortState xmlns:xlrd2="http://schemas.microsoft.com/office/spreadsheetml/2017/richdata2" ref="H5:L5">
    <sortCondition ref="L4:L5"/>
  </sortState>
  <tableColumns count="5">
    <tableColumn id="1" xr3:uid="{2BE3646A-BEDE-44A0-BBAF-9C2BF8703DFF}" name="Specialisme"/>
    <tableColumn id="2" xr3:uid="{65842029-8EAF-46A4-BAD4-881C5384E7E2}" name="Zorgproductcode"/>
    <tableColumn id="3" xr3:uid="{AAB116C3-6673-4449-A465-4828F0275DB8}" name="Zorgproduct"/>
    <tableColumn id="4" xr3:uid="{08172DDB-E69E-41CB-B725-3A3C931976C6}" name="Fct_aantal_sbt_per_zpr" dataDxfId="46" dataCellStyle="Output">
      <calculatedColumnFormula>SUMIFS(I_OpenDIS_ZPR[fct_aantal_sbt_per_zpr], I_OpenDIS_ZPR[Zorgproductcode], Ranking_Zorgproducten[[#This Row],[Zorgproductcode]])</calculatedColumnFormula>
    </tableColumn>
    <tableColumn id="5" xr3:uid="{AD2D35C5-2B06-4177-A6B3-D0EB11DD31BC}" name="Rank zorgproduct" dataCellStyle="Output">
      <calculatedColumnFormula>COUNTIFS(Ranking_Zorgproducten[Specialisme], Ranking_Zorgproducten[[#This Row],[Specialisme]], Ranking_Zorgproducten[Fct_aantal_sbt_per_zpr], "&gt;" &amp; Ranking_Zorgproducten[[#This Row],[Fct_aantal_sbt_per_zpr]]) + COUNTIFS($H$4:H4, Ranking_Zorgproducten[[#This Row],[Specialisme]], $K$4:K4, Ranking_Zorgproducten[[#This Row],[Fct_aantal_sbt_per_zpr]]) + 1</calculatedColumnFormula>
    </tableColumn>
  </tableColumns>
  <tableStyleInfo name="TableStyleMedium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60A46CD-9C17-42A9-997C-14DA26BA69CC}" name="Ranking_Zorgactiviteiten" displayName="Ranking_Zorgactiviteiten" ref="N4:R5" totalsRowShown="0" headerRowDxfId="45" headerRowBorderDxfId="44">
  <autoFilter ref="N4:R5" xr:uid="{960A46CD-9C17-42A9-997C-14DA26BA69CC}"/>
  <sortState xmlns:xlrd2="http://schemas.microsoft.com/office/spreadsheetml/2017/richdata2" ref="N5:R5">
    <sortCondition descending="1" ref="Q4:Q5"/>
  </sortState>
  <tableColumns count="5">
    <tableColumn id="1" xr3:uid="{C2D2ADDF-C2F0-413C-8F6C-A89A0478E60B}" name="Specialisme"/>
    <tableColumn id="2" xr3:uid="{501CA71B-0ECA-498A-ACCD-534A5262473B}" name="Zorgactiviteitcode"/>
    <tableColumn id="3" xr3:uid="{21F5ACE1-6839-426D-8904-CA565FD80B4F}" name="Zorgactiviteit" dataDxfId="43"/>
    <tableColumn id="4" xr3:uid="{694D73E3-6BE0-474B-B08B-8BAEAC72E6B7}" name="Fct_aantal_zga" dataDxfId="42" dataCellStyle="Comma">
      <calculatedColumnFormula>SUMIFS(I_OpenDIS_ZGA[fct_aantal_zga], I_OpenDIS_ZGA[Zorgactiviteitcode], Ranking_Zorgactiviteiten[[#This Row],[Zorgactiviteitcode]])</calculatedColumnFormula>
    </tableColumn>
    <tableColumn id="5" xr3:uid="{1009BB36-3835-43E1-828C-828F57E7B379}" name="Rank diagnose" dataCellStyle="Output">
      <calculatedColumnFormula>COUNTIFS(Ranking_Zorgactiviteiten[Specialisme], Ranking_Zorgactiviteiten[[#This Row],[Specialisme]], Ranking_Zorgactiviteiten[Fct_aantal_zga], "&gt;" &amp; Ranking_Zorgactiviteiten[[#This Row],[Fct_aantal_zga]]) + COUNTIFS($N$4:N4, Ranking_Zorgactiviteiten[[#This Row],[Specialisme]], $Q$4:Q4, Ranking_Zorgactiviteiten[[#This Row],[Fct_aantal_zga]]) + 1</calculatedColumnFormula>
    </tableColumn>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Gupta">
      <a:dk1>
        <a:srgbClr val="3C3C3B"/>
      </a:dk1>
      <a:lt1>
        <a:srgbClr val="FFFFFF"/>
      </a:lt1>
      <a:dk2>
        <a:srgbClr val="173F34"/>
      </a:dk2>
      <a:lt2>
        <a:srgbClr val="B6DA57"/>
      </a:lt2>
      <a:accent1>
        <a:srgbClr val="545453"/>
      </a:accent1>
      <a:accent2>
        <a:srgbClr val="7AA6BD"/>
      </a:accent2>
      <a:accent3>
        <a:srgbClr val="614791"/>
      </a:accent3>
      <a:accent4>
        <a:srgbClr val="E5C201"/>
      </a:accent4>
      <a:accent5>
        <a:srgbClr val="E2411F"/>
      </a:accent5>
      <a:accent6>
        <a:srgbClr val="B26B1A"/>
      </a:accent6>
      <a:hlink>
        <a:srgbClr val="015F99"/>
      </a:hlink>
      <a:folHlink>
        <a:srgbClr val="A1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table" Target="../tables/table7.xml"/></Relationships>
</file>

<file path=xl/worksheets/_rels/sheet7.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8.xml.rels><?xml version="1.0" encoding="UTF-8" standalone="yes"?>
<Relationships xmlns="http://schemas.openxmlformats.org/package/2006/relationships"><Relationship Id="rId1"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F715D-775D-4FAB-A2A4-0D27B7D407DB}">
  <sheetPr>
    <tabColor theme="2"/>
  </sheetPr>
  <dimension ref="A1:F26"/>
  <sheetViews>
    <sheetView tabSelected="1" zoomScaleNormal="100" workbookViewId="0">
      <selection activeCell="A2" sqref="A2"/>
    </sheetView>
  </sheetViews>
  <sheetFormatPr defaultColWidth="0" defaultRowHeight="14.25" zeroHeight="1" x14ac:dyDescent="0.45"/>
  <cols>
    <col min="1" max="1" width="8.53125" customWidth="1"/>
    <col min="2" max="2" width="39.46484375" customWidth="1"/>
    <col min="3" max="5" width="25.796875" customWidth="1"/>
    <col min="6" max="6" width="8.53125" customWidth="1"/>
    <col min="7" max="16384" width="8.86328125" hidden="1"/>
  </cols>
  <sheetData>
    <row r="1" spans="1:6" x14ac:dyDescent="0.45">
      <c r="A1" s="17"/>
      <c r="B1" s="17"/>
      <c r="C1" s="17"/>
      <c r="D1" s="17"/>
      <c r="E1" s="17"/>
      <c r="F1" s="17"/>
    </row>
    <row r="2" spans="1:6" ht="18.75" x14ac:dyDescent="0.5">
      <c r="A2" s="17"/>
      <c r="B2" s="18" t="s">
        <v>106</v>
      </c>
      <c r="C2" s="17"/>
      <c r="D2" s="17"/>
      <c r="E2" s="19"/>
      <c r="F2" s="17"/>
    </row>
    <row r="3" spans="1:6" x14ac:dyDescent="0.45">
      <c r="B3" s="17" t="s">
        <v>107</v>
      </c>
      <c r="C3" s="17"/>
      <c r="D3" s="17"/>
      <c r="E3" s="17"/>
    </row>
    <row r="4" spans="1:6" x14ac:dyDescent="0.45">
      <c r="A4" s="17"/>
      <c r="B4" s="17"/>
      <c r="C4" s="17"/>
      <c r="D4" s="17"/>
      <c r="E4" s="17"/>
      <c r="F4" s="17"/>
    </row>
    <row r="5" spans="1:6" x14ac:dyDescent="0.45">
      <c r="A5" s="17"/>
      <c r="B5" s="17" t="s">
        <v>11</v>
      </c>
      <c r="C5" s="20"/>
      <c r="D5" s="17"/>
      <c r="E5" s="17"/>
      <c r="F5" s="17"/>
    </row>
    <row r="6" spans="1:6" x14ac:dyDescent="0.45">
      <c r="A6" s="17"/>
      <c r="B6" s="17" t="s">
        <v>108</v>
      </c>
      <c r="C6" s="25"/>
      <c r="D6" s="17"/>
      <c r="E6" s="17"/>
      <c r="F6" s="17"/>
    </row>
    <row r="7" spans="1:6" x14ac:dyDescent="0.45">
      <c r="A7" s="17"/>
      <c r="B7" s="17"/>
      <c r="C7" s="17"/>
      <c r="D7" s="17"/>
      <c r="E7" s="17"/>
      <c r="F7" s="17"/>
    </row>
    <row r="8" spans="1:6" x14ac:dyDescent="0.45">
      <c r="A8" s="17"/>
      <c r="B8" s="21" t="s">
        <v>104</v>
      </c>
      <c r="C8" s="17"/>
      <c r="D8" s="17"/>
      <c r="E8" s="17"/>
      <c r="F8" s="17"/>
    </row>
    <row r="9" spans="1:6" ht="60.6" customHeight="1" x14ac:dyDescent="0.45">
      <c r="A9" s="17"/>
      <c r="B9" s="36" t="s">
        <v>109</v>
      </c>
      <c r="C9" s="36"/>
      <c r="D9" s="36"/>
      <c r="E9" s="36"/>
      <c r="F9" s="17"/>
    </row>
    <row r="10" spans="1:6" ht="7.8" customHeight="1" x14ac:dyDescent="0.45">
      <c r="A10" s="17"/>
      <c r="B10" s="17"/>
      <c r="C10" s="17"/>
      <c r="D10" s="17"/>
      <c r="E10" s="17"/>
      <c r="F10" s="17"/>
    </row>
    <row r="11" spans="1:6" ht="42" customHeight="1" x14ac:dyDescent="0.45">
      <c r="A11" s="17"/>
      <c r="B11" s="38" t="s">
        <v>137</v>
      </c>
      <c r="C11" s="38"/>
      <c r="D11" s="38"/>
      <c r="E11" s="38"/>
      <c r="F11" s="17"/>
    </row>
    <row r="12" spans="1:6" ht="20.45" customHeight="1" x14ac:dyDescent="0.45">
      <c r="A12" s="17"/>
      <c r="B12" s="17"/>
      <c r="C12" s="17"/>
      <c r="D12" s="17"/>
      <c r="E12" s="17"/>
      <c r="F12" s="17"/>
    </row>
    <row r="13" spans="1:6" x14ac:dyDescent="0.45">
      <c r="A13" s="17"/>
      <c r="B13" s="21" t="s">
        <v>105</v>
      </c>
      <c r="C13" s="17"/>
      <c r="D13" s="17"/>
      <c r="E13" s="17"/>
      <c r="F13" s="17"/>
    </row>
    <row r="14" spans="1:6" x14ac:dyDescent="0.45">
      <c r="A14" s="17"/>
      <c r="B14" s="17"/>
      <c r="C14" s="17"/>
      <c r="D14" s="17"/>
      <c r="E14" s="17"/>
      <c r="F14" s="17"/>
    </row>
    <row r="15" spans="1:6" x14ac:dyDescent="0.45">
      <c r="A15" s="17"/>
      <c r="B15" s="22" t="s">
        <v>116</v>
      </c>
      <c r="C15" s="23"/>
      <c r="D15" s="23"/>
      <c r="E15" s="23"/>
      <c r="F15" s="17"/>
    </row>
    <row r="16" spans="1:6" x14ac:dyDescent="0.45">
      <c r="A16" s="17"/>
      <c r="B16" s="17" t="s">
        <v>114</v>
      </c>
      <c r="C16" s="37" t="s">
        <v>123</v>
      </c>
      <c r="D16" s="37"/>
      <c r="E16" s="37"/>
      <c r="F16" s="17"/>
    </row>
    <row r="17" spans="1:6" x14ac:dyDescent="0.45">
      <c r="A17" s="17"/>
      <c r="B17" s="17" t="s">
        <v>131</v>
      </c>
      <c r="C17" s="24" t="s">
        <v>132</v>
      </c>
      <c r="D17" s="24"/>
      <c r="E17" s="24"/>
      <c r="F17" s="17"/>
    </row>
    <row r="18" spans="1:6" x14ac:dyDescent="0.45">
      <c r="A18" s="17"/>
      <c r="B18" s="17" t="s">
        <v>110</v>
      </c>
      <c r="C18" s="37" t="s">
        <v>118</v>
      </c>
      <c r="D18" s="37"/>
      <c r="E18" s="37"/>
      <c r="F18" s="17"/>
    </row>
    <row r="19" spans="1:6" x14ac:dyDescent="0.45">
      <c r="A19" s="17"/>
      <c r="B19" s="17"/>
      <c r="C19" s="24"/>
      <c r="D19" s="24"/>
      <c r="E19" s="24"/>
      <c r="F19" s="17"/>
    </row>
    <row r="20" spans="1:6" x14ac:dyDescent="0.45">
      <c r="A20" s="17"/>
      <c r="B20" s="26" t="s">
        <v>117</v>
      </c>
      <c r="C20" s="26"/>
      <c r="D20" s="26"/>
      <c r="E20" s="26"/>
      <c r="F20" s="17"/>
    </row>
    <row r="21" spans="1:6" x14ac:dyDescent="0.45">
      <c r="A21" s="17"/>
      <c r="B21" s="17" t="s">
        <v>115</v>
      </c>
      <c r="C21" s="37" t="s">
        <v>119</v>
      </c>
      <c r="D21" s="37"/>
      <c r="E21" s="37"/>
      <c r="F21" s="17"/>
    </row>
    <row r="22" spans="1:6" x14ac:dyDescent="0.45">
      <c r="A22" s="17"/>
      <c r="B22" s="17" t="s">
        <v>111</v>
      </c>
      <c r="C22" s="37" t="s">
        <v>120</v>
      </c>
      <c r="D22" s="37"/>
      <c r="E22" s="37"/>
      <c r="F22" s="17"/>
    </row>
    <row r="23" spans="1:6" x14ac:dyDescent="0.45">
      <c r="A23" s="17"/>
      <c r="B23" s="17" t="s">
        <v>112</v>
      </c>
      <c r="C23" s="24" t="s">
        <v>121</v>
      </c>
      <c r="D23" s="24"/>
      <c r="E23" s="24"/>
      <c r="F23" s="17"/>
    </row>
    <row r="24" spans="1:6" x14ac:dyDescent="0.45">
      <c r="A24" s="17"/>
      <c r="B24" s="17" t="s">
        <v>113</v>
      </c>
      <c r="C24" s="37" t="s">
        <v>122</v>
      </c>
      <c r="D24" s="37"/>
      <c r="E24" s="37"/>
      <c r="F24" s="17"/>
    </row>
    <row r="25" spans="1:6" x14ac:dyDescent="0.45">
      <c r="A25" s="17"/>
      <c r="B25" s="17"/>
      <c r="C25" s="24"/>
      <c r="D25" s="24"/>
      <c r="E25" s="24"/>
      <c r="F25" s="17"/>
    </row>
    <row r="26" spans="1:6" x14ac:dyDescent="0.45">
      <c r="A26" s="17"/>
      <c r="B26" s="17"/>
      <c r="C26" s="24"/>
      <c r="D26" s="24"/>
      <c r="E26" s="24"/>
      <c r="F26" s="17"/>
    </row>
  </sheetData>
  <mergeCells count="7">
    <mergeCell ref="B9:E9"/>
    <mergeCell ref="C18:E18"/>
    <mergeCell ref="C16:E16"/>
    <mergeCell ref="C22:E22"/>
    <mergeCell ref="C24:E24"/>
    <mergeCell ref="C21:E21"/>
    <mergeCell ref="B11:E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6EA3E-3C7E-4A7B-839F-ED81670498AE}">
  <sheetPr codeName="Sheet2">
    <tabColor theme="2"/>
  </sheetPr>
  <dimension ref="B2:E7"/>
  <sheetViews>
    <sheetView workbookViewId="0">
      <selection activeCell="B7" sqref="B7"/>
    </sheetView>
  </sheetViews>
  <sheetFormatPr defaultRowHeight="14.25" x14ac:dyDescent="0.45"/>
  <cols>
    <col min="2" max="2" width="20.796875" customWidth="1"/>
    <col min="3" max="3" width="44.86328125" customWidth="1"/>
    <col min="4" max="5" width="40.796875" customWidth="1"/>
    <col min="7" max="11" width="20.796875" customWidth="1"/>
  </cols>
  <sheetData>
    <row r="2" spans="2:5" ht="16.5" x14ac:dyDescent="0.45">
      <c r="B2" s="5" t="s">
        <v>126</v>
      </c>
    </row>
    <row r="3" spans="2:5" x14ac:dyDescent="0.45">
      <c r="B3" t="s">
        <v>129</v>
      </c>
    </row>
    <row r="4" spans="2:5" x14ac:dyDescent="0.45">
      <c r="B4" t="s">
        <v>127</v>
      </c>
    </row>
    <row r="6" spans="2:5" x14ac:dyDescent="0.45">
      <c r="B6" t="s">
        <v>37</v>
      </c>
      <c r="C6" t="s">
        <v>43</v>
      </c>
      <c r="D6" t="s">
        <v>39</v>
      </c>
      <c r="E6" t="s">
        <v>44</v>
      </c>
    </row>
    <row r="7" spans="2:5" x14ac:dyDescent="0.45">
      <c r="C7">
        <f>IFERROR(_xlfn.XLOOKUP(Input_Werkgroep[[#This Row],[Zorgactiviteitcode]], I_OpenDIS_ZGA[Zorgactiviteitcode], I_OpenDIS_ZGA[zga_oms]),"")</f>
        <v>0</v>
      </c>
      <c r="D7">
        <f>IFERROR(_xlfn.XLOOKUP(Input_Werkgroep[[#This Row],[Zorgactiviteitcode]], I_OpenDIS_ZGA[Zorgactiviteitcode], I_OpenDIS_ZGA[Zorgprofielklasse]),"")</f>
        <v>0</v>
      </c>
      <c r="E7" s="12"/>
    </row>
  </sheetData>
  <sortState xmlns:xlrd2="http://schemas.microsoft.com/office/spreadsheetml/2017/richdata2" ref="G6:G14053">
    <sortCondition ref="G6:G14053"/>
  </sortState>
  <pageMargins left="0.7" right="0.7" top="0.75" bottom="0.75" header="0.3" footer="0.3"/>
  <pageSetup paperSize="9" orientation="portrait" horizontalDpi="0" verticalDpi="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1CF7DE88-A9EE-41A7-8C3C-D54227316BAE}">
          <x14:formula1>
            <xm:f>'Input Gupta - Bouwblokken'!$B$5:$B$17</xm:f>
          </x14:formula1>
          <xm:sqref>E7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E9A39-939A-4229-9450-7BC16F726415}">
  <sheetPr>
    <tabColor theme="2"/>
  </sheetPr>
  <dimension ref="B2:G8"/>
  <sheetViews>
    <sheetView workbookViewId="0">
      <selection activeCell="B15" sqref="B15"/>
    </sheetView>
  </sheetViews>
  <sheetFormatPr defaultRowHeight="14.25" x14ac:dyDescent="0.45"/>
  <cols>
    <col min="2" max="3" width="20.796875" customWidth="1"/>
    <col min="4" max="4" width="40.796875" customWidth="1"/>
    <col min="5" max="6" width="20.796875" customWidth="1"/>
    <col min="7" max="7" width="50.796875" customWidth="1"/>
  </cols>
  <sheetData>
    <row r="2" spans="2:7" ht="16.5" x14ac:dyDescent="0.45">
      <c r="B2" s="5" t="s">
        <v>139</v>
      </c>
    </row>
    <row r="3" spans="2:7" x14ac:dyDescent="0.45">
      <c r="B3" t="s">
        <v>140</v>
      </c>
    </row>
    <row r="4" spans="2:7" x14ac:dyDescent="0.45">
      <c r="B4" t="s">
        <v>141</v>
      </c>
    </row>
    <row r="5" spans="2:7" x14ac:dyDescent="0.45">
      <c r="B5" t="s">
        <v>143</v>
      </c>
    </row>
    <row r="6" spans="2:7" x14ac:dyDescent="0.45">
      <c r="B6" t="s">
        <v>142</v>
      </c>
    </row>
    <row r="7" spans="2:7" x14ac:dyDescent="0.45">
      <c r="B7" s="10" t="s">
        <v>133</v>
      </c>
      <c r="C7" s="10" t="s">
        <v>134</v>
      </c>
      <c r="D7" s="10" t="s">
        <v>135</v>
      </c>
      <c r="E7" s="10" t="s">
        <v>57</v>
      </c>
      <c r="F7" s="10" t="s">
        <v>59</v>
      </c>
      <c r="G7" s="10" t="s">
        <v>136</v>
      </c>
    </row>
    <row r="8" spans="2:7" x14ac:dyDescent="0.45">
      <c r="C8" s="3"/>
      <c r="E8" s="11"/>
      <c r="F8" s="35"/>
      <c r="G8" s="33"/>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235DB-44B1-49A5-8A78-3F4E13CADD50}">
  <sheetPr codeName="Sheet1">
    <tabColor theme="2"/>
  </sheetPr>
  <dimension ref="B2:H85"/>
  <sheetViews>
    <sheetView zoomScaleNormal="100" workbookViewId="0"/>
  </sheetViews>
  <sheetFormatPr defaultRowHeight="14.25" x14ac:dyDescent="0.45"/>
  <cols>
    <col min="2" max="5" width="25.796875" customWidth="1"/>
    <col min="6" max="6" width="25.796875" hidden="1" customWidth="1"/>
    <col min="7" max="8" width="25.796875" customWidth="1"/>
  </cols>
  <sheetData>
    <row r="2" spans="2:7" ht="18.75" x14ac:dyDescent="0.5">
      <c r="B2" s="6" t="s">
        <v>90</v>
      </c>
      <c r="C2" s="6"/>
      <c r="D2" s="6"/>
      <c r="E2" s="6"/>
      <c r="F2" s="6"/>
      <c r="G2" s="6"/>
    </row>
    <row r="4" spans="2:7" x14ac:dyDescent="0.45">
      <c r="B4" s="10" t="s">
        <v>91</v>
      </c>
    </row>
    <row r="6" spans="2:7" x14ac:dyDescent="0.45">
      <c r="B6" s="16" t="s">
        <v>92</v>
      </c>
      <c r="D6" s="10" t="s">
        <v>102</v>
      </c>
    </row>
    <row r="7" spans="2:7" x14ac:dyDescent="0.45">
      <c r="B7" t="s">
        <v>93</v>
      </c>
      <c r="D7" s="9">
        <f>IFERROR($G$35, "Voer eerst alle gevraagde data in")</f>
        <v>0</v>
      </c>
    </row>
    <row r="8" spans="2:7" x14ac:dyDescent="0.45">
      <c r="B8" t="s">
        <v>94</v>
      </c>
      <c r="D8" s="9">
        <f>IFERROR($G$54, "")</f>
        <v>0</v>
      </c>
    </row>
    <row r="9" spans="2:7" x14ac:dyDescent="0.45">
      <c r="B9" t="s">
        <v>95</v>
      </c>
      <c r="D9" s="9">
        <f>IFERROR($G$73, "")</f>
        <v>0</v>
      </c>
    </row>
    <row r="10" spans="2:7" x14ac:dyDescent="0.45">
      <c r="B10" t="s">
        <v>96</v>
      </c>
      <c r="D10" s="9" t="str">
        <f>IFERROR(AVERAGE($G$36, $G$55, $G$74), "")</f>
        <v/>
      </c>
    </row>
    <row r="12" spans="2:7" x14ac:dyDescent="0.45">
      <c r="B12" s="16" t="s">
        <v>97</v>
      </c>
      <c r="D12" s="10" t="s">
        <v>103</v>
      </c>
    </row>
    <row r="13" spans="2:7" x14ac:dyDescent="0.45">
      <c r="B13" t="s">
        <v>98</v>
      </c>
      <c r="D13" s="9">
        <f>IFERROR($H$35, "Voer eerst alle gevraagde data in")</f>
        <v>0</v>
      </c>
    </row>
    <row r="14" spans="2:7" x14ac:dyDescent="0.45">
      <c r="B14" t="s">
        <v>99</v>
      </c>
      <c r="D14" s="9">
        <f>IFERROR($H$54,"")</f>
        <v>0</v>
      </c>
    </row>
    <row r="15" spans="2:7" x14ac:dyDescent="0.45">
      <c r="B15" t="s">
        <v>100</v>
      </c>
      <c r="D15" s="9">
        <f>IFERROR($H$73,"")</f>
        <v>0</v>
      </c>
    </row>
    <row r="16" spans="2:7" x14ac:dyDescent="0.45">
      <c r="B16" t="s">
        <v>101</v>
      </c>
      <c r="D16" s="9" t="str">
        <f>IFERROR(AVERAGE($H$36, $H$55, $H$74),"")</f>
        <v/>
      </c>
    </row>
    <row r="19" spans="2:8" ht="16.5" x14ac:dyDescent="0.45">
      <c r="B19" s="5" t="s">
        <v>89</v>
      </c>
    </row>
    <row r="21" spans="2:8" ht="16.5" x14ac:dyDescent="0.45">
      <c r="B21" s="5" t="s">
        <v>27</v>
      </c>
    </row>
    <row r="23" spans="2:8" x14ac:dyDescent="0.45">
      <c r="B23" t="s">
        <v>28</v>
      </c>
      <c r="C23" t="s">
        <v>32</v>
      </c>
      <c r="D23" t="s">
        <v>12</v>
      </c>
      <c r="E23" t="s">
        <v>30</v>
      </c>
      <c r="F23" t="s">
        <v>128</v>
      </c>
      <c r="G23" t="s">
        <v>72</v>
      </c>
      <c r="H23" t="s">
        <v>71</v>
      </c>
    </row>
    <row r="24" spans="2:8" x14ac:dyDescent="0.45">
      <c r="B24">
        <v>1</v>
      </c>
      <c r="C24" s="3">
        <f>IFERROR(IFERROR(IFERROR(IFERROR(IFERROR(IFERROR(IFERROR(IFERROR(IFERROR(IFERROR(_xlfn.XLOOKUP(TC_DIA[[#This Row],[Rank]], Ranking_Diagnoses[Rank diagnose], Ranking_Diagnoses[Diagnosecode]),""),""),""),""),""),""),""),""),""),"")</f>
        <v>0</v>
      </c>
      <c r="D24" t="str">
        <f>IFERROR(IFERROR(IFERROR(IFERROR(IFERROR(IFERROR(IFERROR(IFERROR(IFERROR(IFERROR(_xlfn.XLOOKUP(TC_DIA[[#This Row],[Diagnosecode]], Ranking_Diagnoses[Diagnosecode], Ranking_Diagnoses[Diagnose]),""),""),""),""),""),""),""),""),""),"")</f>
        <v/>
      </c>
      <c r="E24" s="9" t="str">
        <f>IFERROR(IFERROR(IFERROR(IFERROR(IFERROR(IFERROR(IFERROR(IFERROR(IFERROR(IFERROR(_xlfn.XLOOKUP(TC_DIA[[#This Row],[Diagnosecode]], Ranking_Diagnoses[Diagnosecode], Ranking_Diagnoses[Fct_aantal_sbt_per_dia]),""),""),""),""),""),""),""),""),""),"")</f>
        <v/>
      </c>
      <c r="F24" s="32" t="str">
        <f>IFERROR(IFERROR(IFERROR(IFERROR(IFERROR(IFERROR(IFERROR(IFERROR(IFERROR(IFERROR(SUMIFS(I_OpenDIS_ZGA[fct_aantal_zga], I_OpenDIS_ZGA[Diagnosecode], TC_DIA[[#This Row],[Diagnosecode]], I_OpenDIS_ZGA[Relevante input?], 1) / SUMIFS(I_OpenDIS_ZGA[fct_aantal_zga], I_OpenDIS_ZGA[Diagnosecode], TC_DIA[[#This Row],[Diagnosecode]]),""),""),""),""),""),""),""),""),""),"")</f>
        <v/>
      </c>
      <c r="G24" s="9" t="str">
        <f>IFERROR(IFERROR(IFERROR(IFERROR(IFERROR(IFERROR(IFERROR(IFERROR(IFERROR(IFERROR(SUMIFS(I_OpenDIS_ZGA[CO2-uitstoot activiteit], I_OpenDIS_ZGA[Diagnosecode], TC_DIA[[#This Row],[Diagnosecode]]) / TC_DIA[[#This Row],[Dekking]],""),""),""),""),""),""),""),""),""),"")</f>
        <v/>
      </c>
      <c r="H24" s="9" t="str">
        <f>IFERROR(IFERROR(IFERROR(IFERROR(IFERROR(IFERROR(IFERROR(IFERROR(IFERROR(IFERROR(SUMIFS(I_OpenDIS_ZGA[Afval activiteit], I_OpenDIS_ZGA[Diagnosecode], TC_DIA[[#This Row],[Diagnosecode]]) / TC_DIA[[#This Row],[Dekking]],""),""),""),""),""),""),""),""),""),"")</f>
        <v/>
      </c>
    </row>
    <row r="25" spans="2:8" x14ac:dyDescent="0.45">
      <c r="B25">
        <v>2</v>
      </c>
      <c r="C25" s="3" t="str">
        <f>IFERROR(IFERROR(IFERROR(IFERROR(IFERROR(IFERROR(IFERROR(IFERROR(IFERROR(IFERROR(_xlfn.XLOOKUP(TC_DIA[[#This Row],[Rank]], Ranking_Diagnoses[Rank diagnose], Ranking_Diagnoses[Diagnosecode]),""),""),""),""),""),""),""),""),""),"")</f>
        <v/>
      </c>
      <c r="D25" t="str">
        <f>IFERROR(IFERROR(IFERROR(IFERROR(IFERROR(IFERROR(IFERROR(IFERROR(IFERROR(IFERROR(_xlfn.XLOOKUP(TC_DIA[[#This Row],[Diagnosecode]], Ranking_Diagnoses[Diagnosecode], Ranking_Diagnoses[Diagnose]),""),""),""),""),""),""),""),""),""),"")</f>
        <v/>
      </c>
      <c r="E25" s="9" t="str">
        <f>IFERROR(IFERROR(IFERROR(IFERROR(IFERROR(IFERROR(IFERROR(IFERROR(IFERROR(IFERROR(_xlfn.XLOOKUP(TC_DIA[[#This Row],[Diagnosecode]], Ranking_Diagnoses[Diagnosecode], Ranking_Diagnoses[Fct_aantal_sbt_per_dia]),""),""),""),""),""),""),""),""),""),"")</f>
        <v/>
      </c>
      <c r="F25" s="32" t="str">
        <f>IFERROR(IFERROR(IFERROR(IFERROR(IFERROR(IFERROR(IFERROR(IFERROR(IFERROR(IFERROR(SUMIFS(I_OpenDIS_ZGA[fct_aantal_zga], I_OpenDIS_ZGA[Diagnosecode], TC_DIA[[#This Row],[Diagnosecode]], I_OpenDIS_ZGA[Relevante input?], 1) / SUMIFS(I_OpenDIS_ZGA[fct_aantal_zga], I_OpenDIS_ZGA[Diagnosecode], TC_DIA[[#This Row],[Diagnosecode]]),""),""),""),""),""),""),""),""),""),"")</f>
        <v/>
      </c>
      <c r="G25" s="9" t="str">
        <f>IFERROR(IFERROR(IFERROR(IFERROR(IFERROR(IFERROR(IFERROR(IFERROR(IFERROR(IFERROR(SUMIFS(I_OpenDIS_ZGA[CO2-uitstoot activiteit], I_OpenDIS_ZGA[Diagnosecode], TC_DIA[[#This Row],[Diagnosecode]]) / TC_DIA[[#This Row],[Dekking]],""),""),""),""),""),""),""),""),""),"")</f>
        <v/>
      </c>
      <c r="H25" s="9" t="str">
        <f>IFERROR(IFERROR(IFERROR(IFERROR(IFERROR(IFERROR(IFERROR(IFERROR(IFERROR(IFERROR(SUMIFS(I_OpenDIS_ZGA[Afval activiteit], I_OpenDIS_ZGA[Diagnosecode], TC_DIA[[#This Row],[Diagnosecode]]) / TC_DIA[[#This Row],[Dekking]],""),""),""),""),""),""),""),""),""),"")</f>
        <v/>
      </c>
    </row>
    <row r="26" spans="2:8" x14ac:dyDescent="0.45">
      <c r="B26">
        <v>3</v>
      </c>
      <c r="C26" s="3" t="str">
        <f>IFERROR(IFERROR(IFERROR(IFERROR(IFERROR(IFERROR(IFERROR(IFERROR(IFERROR(IFERROR(_xlfn.XLOOKUP(TC_DIA[[#This Row],[Rank]], Ranking_Diagnoses[Rank diagnose], Ranking_Diagnoses[Diagnosecode]),""),""),""),""),""),""),""),""),""),"")</f>
        <v/>
      </c>
      <c r="D26" t="str">
        <f>IFERROR(IFERROR(IFERROR(IFERROR(IFERROR(IFERROR(IFERROR(IFERROR(IFERROR(IFERROR(_xlfn.XLOOKUP(TC_DIA[[#This Row],[Diagnosecode]], Ranking_Diagnoses[Diagnosecode], Ranking_Diagnoses[Diagnose]),""),""),""),""),""),""),""),""),""),"")</f>
        <v/>
      </c>
      <c r="E26" s="9" t="str">
        <f>IFERROR(IFERROR(IFERROR(IFERROR(IFERROR(IFERROR(IFERROR(IFERROR(IFERROR(IFERROR(_xlfn.XLOOKUP(TC_DIA[[#This Row],[Diagnosecode]], Ranking_Diagnoses[Diagnosecode], Ranking_Diagnoses[Fct_aantal_sbt_per_dia]),""),""),""),""),""),""),""),""),""),"")</f>
        <v/>
      </c>
      <c r="F26" s="32" t="str">
        <f>IFERROR(IFERROR(IFERROR(IFERROR(IFERROR(IFERROR(IFERROR(IFERROR(IFERROR(IFERROR(SUMIFS(I_OpenDIS_ZGA[fct_aantal_zga], I_OpenDIS_ZGA[Diagnosecode], TC_DIA[[#This Row],[Diagnosecode]], I_OpenDIS_ZGA[Relevante input?], 1) / SUMIFS(I_OpenDIS_ZGA[fct_aantal_zga], I_OpenDIS_ZGA[Diagnosecode], TC_DIA[[#This Row],[Diagnosecode]]),""),""),""),""),""),""),""),""),""),"")</f>
        <v/>
      </c>
      <c r="G26" s="9" t="str">
        <f>IFERROR(IFERROR(IFERROR(IFERROR(IFERROR(IFERROR(IFERROR(IFERROR(IFERROR(IFERROR(SUMIFS(I_OpenDIS_ZGA[CO2-uitstoot activiteit], I_OpenDIS_ZGA[Diagnosecode], TC_DIA[[#This Row],[Diagnosecode]]) / TC_DIA[[#This Row],[Dekking]],""),""),""),""),""),""),""),""),""),"")</f>
        <v/>
      </c>
      <c r="H26" s="9" t="str">
        <f>IFERROR(IFERROR(IFERROR(IFERROR(IFERROR(IFERROR(IFERROR(IFERROR(IFERROR(IFERROR(SUMIFS(I_OpenDIS_ZGA[Afval activiteit], I_OpenDIS_ZGA[Diagnosecode], TC_DIA[[#This Row],[Diagnosecode]]) / TC_DIA[[#This Row],[Dekking]],""),""),""),""),""),""),""),""),""),"")</f>
        <v/>
      </c>
    </row>
    <row r="27" spans="2:8" x14ac:dyDescent="0.45">
      <c r="B27">
        <v>4</v>
      </c>
      <c r="C27" s="3" t="str">
        <f>IFERROR(IFERROR(IFERROR(IFERROR(IFERROR(IFERROR(IFERROR(IFERROR(IFERROR(IFERROR(_xlfn.XLOOKUP(TC_DIA[[#This Row],[Rank]], Ranking_Diagnoses[Rank diagnose], Ranking_Diagnoses[Diagnosecode]),""),""),""),""),""),""),""),""),""),"")</f>
        <v/>
      </c>
      <c r="D27" t="str">
        <f>IFERROR(IFERROR(IFERROR(IFERROR(IFERROR(IFERROR(IFERROR(IFERROR(IFERROR(IFERROR(_xlfn.XLOOKUP(TC_DIA[[#This Row],[Diagnosecode]], Ranking_Diagnoses[Diagnosecode], Ranking_Diagnoses[Diagnose]),""),""),""),""),""),""),""),""),""),"")</f>
        <v/>
      </c>
      <c r="E27" s="9" t="str">
        <f>IFERROR(IFERROR(IFERROR(IFERROR(IFERROR(IFERROR(IFERROR(IFERROR(IFERROR(IFERROR(_xlfn.XLOOKUP(TC_DIA[[#This Row],[Diagnosecode]], Ranking_Diagnoses[Diagnosecode], Ranking_Diagnoses[Fct_aantal_sbt_per_dia]),""),""),""),""),""),""),""),""),""),"")</f>
        <v/>
      </c>
      <c r="F27" s="32" t="str">
        <f>IFERROR(IFERROR(IFERROR(IFERROR(IFERROR(IFERROR(IFERROR(IFERROR(IFERROR(IFERROR(SUMIFS(I_OpenDIS_ZGA[fct_aantal_zga], I_OpenDIS_ZGA[Diagnosecode], TC_DIA[[#This Row],[Diagnosecode]], I_OpenDIS_ZGA[Relevante input?], 1) / SUMIFS(I_OpenDIS_ZGA[fct_aantal_zga], I_OpenDIS_ZGA[Diagnosecode], TC_DIA[[#This Row],[Diagnosecode]]),""),""),""),""),""),""),""),""),""),"")</f>
        <v/>
      </c>
      <c r="G27" s="9" t="str">
        <f>IFERROR(IFERROR(IFERROR(IFERROR(IFERROR(IFERROR(IFERROR(IFERROR(IFERROR(IFERROR(SUMIFS(I_OpenDIS_ZGA[CO2-uitstoot activiteit], I_OpenDIS_ZGA[Diagnosecode], TC_DIA[[#This Row],[Diagnosecode]]) / TC_DIA[[#This Row],[Dekking]],""),""),""),""),""),""),""),""),""),"")</f>
        <v/>
      </c>
      <c r="H27" s="9" t="str">
        <f>IFERROR(IFERROR(IFERROR(IFERROR(IFERROR(IFERROR(IFERROR(IFERROR(IFERROR(IFERROR(SUMIFS(I_OpenDIS_ZGA[Afval activiteit], I_OpenDIS_ZGA[Diagnosecode], TC_DIA[[#This Row],[Diagnosecode]]) / TC_DIA[[#This Row],[Dekking]],""),""),""),""),""),""),""),""),""),"")</f>
        <v/>
      </c>
    </row>
    <row r="28" spans="2:8" x14ac:dyDescent="0.45">
      <c r="B28">
        <v>5</v>
      </c>
      <c r="C28" s="3" t="str">
        <f>IFERROR(IFERROR(IFERROR(IFERROR(IFERROR(IFERROR(IFERROR(IFERROR(IFERROR(IFERROR(_xlfn.XLOOKUP(TC_DIA[[#This Row],[Rank]], Ranking_Diagnoses[Rank diagnose], Ranking_Diagnoses[Diagnosecode]),""),""),""),""),""),""),""),""),""),"")</f>
        <v/>
      </c>
      <c r="D28" t="str">
        <f>IFERROR(IFERROR(IFERROR(IFERROR(IFERROR(IFERROR(IFERROR(IFERROR(IFERROR(IFERROR(_xlfn.XLOOKUP(TC_DIA[[#This Row],[Diagnosecode]], Ranking_Diagnoses[Diagnosecode], Ranking_Diagnoses[Diagnose]),""),""),""),""),""),""),""),""),""),"")</f>
        <v/>
      </c>
      <c r="E28" s="9" t="str">
        <f>IFERROR(IFERROR(IFERROR(IFERROR(IFERROR(IFERROR(IFERROR(IFERROR(IFERROR(IFERROR(_xlfn.XLOOKUP(TC_DIA[[#This Row],[Diagnosecode]], Ranking_Diagnoses[Diagnosecode], Ranking_Diagnoses[Fct_aantal_sbt_per_dia]),""),""),""),""),""),""),""),""),""),"")</f>
        <v/>
      </c>
      <c r="F28" s="32" t="str">
        <f>IFERROR(IFERROR(IFERROR(IFERROR(IFERROR(IFERROR(IFERROR(IFERROR(IFERROR(IFERROR(SUMIFS(I_OpenDIS_ZGA[fct_aantal_zga], I_OpenDIS_ZGA[Diagnosecode], TC_DIA[[#This Row],[Diagnosecode]], I_OpenDIS_ZGA[Relevante input?], 1) / SUMIFS(I_OpenDIS_ZGA[fct_aantal_zga], I_OpenDIS_ZGA[Diagnosecode], TC_DIA[[#This Row],[Diagnosecode]]),""),""),""),""),""),""),""),""),""),"")</f>
        <v/>
      </c>
      <c r="G28" s="9" t="str">
        <f>IFERROR(IFERROR(IFERROR(IFERROR(IFERROR(IFERROR(IFERROR(IFERROR(IFERROR(IFERROR(SUMIFS(I_OpenDIS_ZGA[CO2-uitstoot activiteit], I_OpenDIS_ZGA[Diagnosecode], TC_DIA[[#This Row],[Diagnosecode]]) / TC_DIA[[#This Row],[Dekking]],""),""),""),""),""),""),""),""),""),"")</f>
        <v/>
      </c>
      <c r="H28" s="9" t="str">
        <f>IFERROR(IFERROR(IFERROR(IFERROR(IFERROR(IFERROR(IFERROR(IFERROR(IFERROR(IFERROR(SUMIFS(I_OpenDIS_ZGA[Afval activiteit], I_OpenDIS_ZGA[Diagnosecode], TC_DIA[[#This Row],[Diagnosecode]]) / TC_DIA[[#This Row],[Dekking]],""),""),""),""),""),""),""),""),""),"")</f>
        <v/>
      </c>
    </row>
    <row r="29" spans="2:8" x14ac:dyDescent="0.45">
      <c r="B29">
        <v>6</v>
      </c>
      <c r="C29" s="3" t="str">
        <f>IFERROR(IFERROR(IFERROR(IFERROR(IFERROR(IFERROR(IFERROR(IFERROR(IFERROR(IFERROR(_xlfn.XLOOKUP(TC_DIA[[#This Row],[Rank]], Ranking_Diagnoses[Rank diagnose], Ranking_Diagnoses[Diagnosecode]),""),""),""),""),""),""),""),""),""),"")</f>
        <v/>
      </c>
      <c r="D29" t="str">
        <f>IFERROR(IFERROR(IFERROR(IFERROR(IFERROR(IFERROR(IFERROR(IFERROR(IFERROR(IFERROR(_xlfn.XLOOKUP(TC_DIA[[#This Row],[Diagnosecode]], Ranking_Diagnoses[Diagnosecode], Ranking_Diagnoses[Diagnose]),""),""),""),""),""),""),""),""),""),"")</f>
        <v/>
      </c>
      <c r="E29" s="9" t="str">
        <f>IFERROR(IFERROR(IFERROR(IFERROR(IFERROR(IFERROR(IFERROR(IFERROR(IFERROR(IFERROR(_xlfn.XLOOKUP(TC_DIA[[#This Row],[Diagnosecode]], Ranking_Diagnoses[Diagnosecode], Ranking_Diagnoses[Fct_aantal_sbt_per_dia]),""),""),""),""),""),""),""),""),""),"")</f>
        <v/>
      </c>
      <c r="F29" s="32" t="str">
        <f>IFERROR(IFERROR(IFERROR(IFERROR(IFERROR(IFERROR(IFERROR(IFERROR(IFERROR(IFERROR(SUMIFS(I_OpenDIS_ZGA[fct_aantal_zga], I_OpenDIS_ZGA[Diagnosecode], TC_DIA[[#This Row],[Diagnosecode]], I_OpenDIS_ZGA[Relevante input?], 1) / SUMIFS(I_OpenDIS_ZGA[fct_aantal_zga], I_OpenDIS_ZGA[Diagnosecode], TC_DIA[[#This Row],[Diagnosecode]]),""),""),""),""),""),""),""),""),""),"")</f>
        <v/>
      </c>
      <c r="G29" s="9" t="str">
        <f>IFERROR(IFERROR(IFERROR(IFERROR(IFERROR(IFERROR(IFERROR(IFERROR(IFERROR(IFERROR(SUMIFS(I_OpenDIS_ZGA[CO2-uitstoot activiteit], I_OpenDIS_ZGA[Diagnosecode], TC_DIA[[#This Row],[Diagnosecode]]) / TC_DIA[[#This Row],[Dekking]],""),""),""),""),""),""),""),""),""),"")</f>
        <v/>
      </c>
      <c r="H29" s="9" t="str">
        <f>IFERROR(IFERROR(IFERROR(IFERROR(IFERROR(IFERROR(IFERROR(IFERROR(IFERROR(IFERROR(SUMIFS(I_OpenDIS_ZGA[Afval activiteit], I_OpenDIS_ZGA[Diagnosecode], TC_DIA[[#This Row],[Diagnosecode]]) / TC_DIA[[#This Row],[Dekking]],""),""),""),""),""),""),""),""),""),"")</f>
        <v/>
      </c>
    </row>
    <row r="30" spans="2:8" x14ac:dyDescent="0.45">
      <c r="B30">
        <v>7</v>
      </c>
      <c r="C30" s="3" t="str">
        <f>IFERROR(IFERROR(IFERROR(IFERROR(IFERROR(IFERROR(IFERROR(IFERROR(IFERROR(IFERROR(_xlfn.XLOOKUP(TC_DIA[[#This Row],[Rank]], Ranking_Diagnoses[Rank diagnose], Ranking_Diagnoses[Diagnosecode]),""),""),""),""),""),""),""),""),""),"")</f>
        <v/>
      </c>
      <c r="D30" t="str">
        <f>IFERROR(IFERROR(IFERROR(IFERROR(IFERROR(IFERROR(IFERROR(IFERROR(IFERROR(IFERROR(_xlfn.XLOOKUP(TC_DIA[[#This Row],[Diagnosecode]], Ranking_Diagnoses[Diagnosecode], Ranking_Diagnoses[Diagnose]),""),""),""),""),""),""),""),""),""),"")</f>
        <v/>
      </c>
      <c r="E30" s="9" t="str">
        <f>IFERROR(IFERROR(IFERROR(IFERROR(IFERROR(IFERROR(IFERROR(IFERROR(IFERROR(IFERROR(_xlfn.XLOOKUP(TC_DIA[[#This Row],[Diagnosecode]], Ranking_Diagnoses[Diagnosecode], Ranking_Diagnoses[Fct_aantal_sbt_per_dia]),""),""),""),""),""),""),""),""),""),"")</f>
        <v/>
      </c>
      <c r="F30" s="32" t="str">
        <f>IFERROR(IFERROR(IFERROR(IFERROR(IFERROR(IFERROR(IFERROR(IFERROR(IFERROR(IFERROR(SUMIFS(I_OpenDIS_ZGA[fct_aantal_zga], I_OpenDIS_ZGA[Diagnosecode], TC_DIA[[#This Row],[Diagnosecode]], I_OpenDIS_ZGA[Relevante input?], 1) / SUMIFS(I_OpenDIS_ZGA[fct_aantal_zga], I_OpenDIS_ZGA[Diagnosecode], TC_DIA[[#This Row],[Diagnosecode]]),""),""),""),""),""),""),""),""),""),"")</f>
        <v/>
      </c>
      <c r="G30" s="9" t="str">
        <f>IFERROR(IFERROR(IFERROR(IFERROR(IFERROR(IFERROR(IFERROR(IFERROR(IFERROR(IFERROR(SUMIFS(I_OpenDIS_ZGA[CO2-uitstoot activiteit], I_OpenDIS_ZGA[Diagnosecode], TC_DIA[[#This Row],[Diagnosecode]]) / TC_DIA[[#This Row],[Dekking]],""),""),""),""),""),""),""),""),""),"")</f>
        <v/>
      </c>
      <c r="H30" s="9" t="str">
        <f>IFERROR(IFERROR(IFERROR(IFERROR(IFERROR(IFERROR(IFERROR(IFERROR(IFERROR(IFERROR(SUMIFS(I_OpenDIS_ZGA[Afval activiteit], I_OpenDIS_ZGA[Diagnosecode], TC_DIA[[#This Row],[Diagnosecode]]) / TC_DIA[[#This Row],[Dekking]],""),""),""),""),""),""),""),""),""),"")</f>
        <v/>
      </c>
    </row>
    <row r="31" spans="2:8" x14ac:dyDescent="0.45">
      <c r="B31">
        <v>8</v>
      </c>
      <c r="C31" s="3" t="str">
        <f>IFERROR(IFERROR(IFERROR(IFERROR(IFERROR(IFERROR(IFERROR(IFERROR(IFERROR(IFERROR(_xlfn.XLOOKUP(TC_DIA[[#This Row],[Rank]], Ranking_Diagnoses[Rank diagnose], Ranking_Diagnoses[Diagnosecode]),""),""),""),""),""),""),""),""),""),"")</f>
        <v/>
      </c>
      <c r="D31" t="str">
        <f>IFERROR(IFERROR(IFERROR(IFERROR(IFERROR(IFERROR(IFERROR(IFERROR(IFERROR(IFERROR(_xlfn.XLOOKUP(TC_DIA[[#This Row],[Diagnosecode]], Ranking_Diagnoses[Diagnosecode], Ranking_Diagnoses[Diagnose]),""),""),""),""),""),""),""),""),""),"")</f>
        <v/>
      </c>
      <c r="E31" s="9" t="str">
        <f>IFERROR(IFERROR(IFERROR(IFERROR(IFERROR(IFERROR(IFERROR(IFERROR(IFERROR(IFERROR(_xlfn.XLOOKUP(TC_DIA[[#This Row],[Diagnosecode]], Ranking_Diagnoses[Diagnosecode], Ranking_Diagnoses[Fct_aantal_sbt_per_dia]),""),""),""),""),""),""),""),""),""),"")</f>
        <v/>
      </c>
      <c r="F31" s="32" t="str">
        <f>IFERROR(IFERROR(IFERROR(IFERROR(IFERROR(IFERROR(IFERROR(IFERROR(IFERROR(IFERROR(SUMIFS(I_OpenDIS_ZGA[fct_aantal_zga], I_OpenDIS_ZGA[Diagnosecode], TC_DIA[[#This Row],[Diagnosecode]], I_OpenDIS_ZGA[Relevante input?], 1) / SUMIFS(I_OpenDIS_ZGA[fct_aantal_zga], I_OpenDIS_ZGA[Diagnosecode], TC_DIA[[#This Row],[Diagnosecode]]),""),""),""),""),""),""),""),""),""),"")</f>
        <v/>
      </c>
      <c r="G31" s="9" t="str">
        <f>IFERROR(IFERROR(IFERROR(IFERROR(IFERROR(IFERROR(IFERROR(IFERROR(IFERROR(IFERROR(SUMIFS(I_OpenDIS_ZGA[CO2-uitstoot activiteit], I_OpenDIS_ZGA[Diagnosecode], TC_DIA[[#This Row],[Diagnosecode]]) / TC_DIA[[#This Row],[Dekking]],""),""),""),""),""),""),""),""),""),"")</f>
        <v/>
      </c>
      <c r="H31" s="9" t="str">
        <f>IFERROR(IFERROR(IFERROR(IFERROR(IFERROR(IFERROR(IFERROR(IFERROR(IFERROR(IFERROR(SUMIFS(I_OpenDIS_ZGA[Afval activiteit], I_OpenDIS_ZGA[Diagnosecode], TC_DIA[[#This Row],[Diagnosecode]]) / TC_DIA[[#This Row],[Dekking]],""),""),""),""),""),""),""),""),""),"")</f>
        <v/>
      </c>
    </row>
    <row r="32" spans="2:8" x14ac:dyDescent="0.45">
      <c r="B32">
        <v>9</v>
      </c>
      <c r="C32" s="3" t="str">
        <f>IFERROR(IFERROR(IFERROR(IFERROR(IFERROR(IFERROR(IFERROR(IFERROR(IFERROR(IFERROR(_xlfn.XLOOKUP(TC_DIA[[#This Row],[Rank]], Ranking_Diagnoses[Rank diagnose], Ranking_Diagnoses[Diagnosecode]),""),""),""),""),""),""),""),""),""),"")</f>
        <v/>
      </c>
      <c r="D32" t="str">
        <f>IFERROR(IFERROR(IFERROR(IFERROR(IFERROR(IFERROR(IFERROR(IFERROR(IFERROR(IFERROR(_xlfn.XLOOKUP(TC_DIA[[#This Row],[Diagnosecode]], Ranking_Diagnoses[Diagnosecode], Ranking_Diagnoses[Diagnose]),""),""),""),""),""),""),""),""),""),"")</f>
        <v/>
      </c>
      <c r="E32" s="9" t="str">
        <f>IFERROR(IFERROR(IFERROR(IFERROR(IFERROR(IFERROR(IFERROR(IFERROR(IFERROR(IFERROR(_xlfn.XLOOKUP(TC_DIA[[#This Row],[Diagnosecode]], Ranking_Diagnoses[Diagnosecode], Ranking_Diagnoses[Fct_aantal_sbt_per_dia]),""),""),""),""),""),""),""),""),""),"")</f>
        <v/>
      </c>
      <c r="F32" s="32" t="str">
        <f>IFERROR(IFERROR(IFERROR(IFERROR(IFERROR(IFERROR(IFERROR(IFERROR(IFERROR(IFERROR(SUMIFS(I_OpenDIS_ZGA[fct_aantal_zga], I_OpenDIS_ZGA[Diagnosecode], TC_DIA[[#This Row],[Diagnosecode]], I_OpenDIS_ZGA[Relevante input?], 1) / SUMIFS(I_OpenDIS_ZGA[fct_aantal_zga], I_OpenDIS_ZGA[Diagnosecode], TC_DIA[[#This Row],[Diagnosecode]]),""),""),""),""),""),""),""),""),""),"")</f>
        <v/>
      </c>
      <c r="G32" s="9" t="str">
        <f>IFERROR(IFERROR(IFERROR(IFERROR(IFERROR(IFERROR(IFERROR(IFERROR(IFERROR(IFERROR(SUMIFS(I_OpenDIS_ZGA[CO2-uitstoot activiteit], I_OpenDIS_ZGA[Diagnosecode], TC_DIA[[#This Row],[Diagnosecode]]) / TC_DIA[[#This Row],[Dekking]],""),""),""),""),""),""),""),""),""),"")</f>
        <v/>
      </c>
      <c r="H32" s="9" t="str">
        <f>IFERROR(IFERROR(IFERROR(IFERROR(IFERROR(IFERROR(IFERROR(IFERROR(IFERROR(IFERROR(SUMIFS(I_OpenDIS_ZGA[Afval activiteit], I_OpenDIS_ZGA[Diagnosecode], TC_DIA[[#This Row],[Diagnosecode]]) / TC_DIA[[#This Row],[Dekking]],""),""),""),""),""),""),""),""),""),"")</f>
        <v/>
      </c>
    </row>
    <row r="33" spans="2:8" x14ac:dyDescent="0.45">
      <c r="B33">
        <v>10</v>
      </c>
      <c r="C33" s="3" t="str">
        <f>IFERROR(IFERROR(IFERROR(IFERROR(IFERROR(IFERROR(IFERROR(IFERROR(IFERROR(IFERROR(_xlfn.XLOOKUP(TC_DIA[[#This Row],[Rank]], Ranking_Diagnoses[Rank diagnose], Ranking_Diagnoses[Diagnosecode]),""),""),""),""),""),""),""),""),""),"")</f>
        <v/>
      </c>
      <c r="D33" t="str">
        <f>IFERROR(IFERROR(IFERROR(IFERROR(IFERROR(IFERROR(IFERROR(IFERROR(IFERROR(IFERROR(_xlfn.XLOOKUP(TC_DIA[[#This Row],[Diagnosecode]], Ranking_Diagnoses[Diagnosecode], Ranking_Diagnoses[Diagnose]),""),""),""),""),""),""),""),""),""),"")</f>
        <v/>
      </c>
      <c r="E33" s="9" t="str">
        <f>IFERROR(IFERROR(IFERROR(IFERROR(IFERROR(IFERROR(IFERROR(IFERROR(IFERROR(IFERROR(_xlfn.XLOOKUP(TC_DIA[[#This Row],[Diagnosecode]], Ranking_Diagnoses[Diagnosecode], Ranking_Diagnoses[Fct_aantal_sbt_per_dia]),""),""),""),""),""),""),""),""),""),"")</f>
        <v/>
      </c>
      <c r="F33" s="32" t="str">
        <f>IFERROR(IFERROR(IFERROR(IFERROR(IFERROR(IFERROR(IFERROR(IFERROR(IFERROR(IFERROR(SUMIFS(I_OpenDIS_ZGA[fct_aantal_zga], I_OpenDIS_ZGA[Diagnosecode], TC_DIA[[#This Row],[Diagnosecode]], I_OpenDIS_ZGA[Relevante input?], 1) / SUMIFS(I_OpenDIS_ZGA[fct_aantal_zga], I_OpenDIS_ZGA[Diagnosecode], TC_DIA[[#This Row],[Diagnosecode]]),""),""),""),""),""),""),""),""),""),"")</f>
        <v/>
      </c>
      <c r="G33" s="9" t="str">
        <f>IFERROR(IFERROR(IFERROR(IFERROR(IFERROR(IFERROR(IFERROR(IFERROR(IFERROR(IFERROR(SUMIFS(I_OpenDIS_ZGA[CO2-uitstoot activiteit], I_OpenDIS_ZGA[Diagnosecode], TC_DIA[[#This Row],[Diagnosecode]]) / TC_DIA[[#This Row],[Dekking]],""),""),""),""),""),""),""),""),""),"")</f>
        <v/>
      </c>
      <c r="H33" s="9" t="str">
        <f>IFERROR(IFERROR(IFERROR(IFERROR(IFERROR(IFERROR(IFERROR(IFERROR(IFERROR(IFERROR(SUMIFS(I_OpenDIS_ZGA[Afval activiteit], I_OpenDIS_ZGA[Diagnosecode], TC_DIA[[#This Row],[Diagnosecode]]) / TC_DIA[[#This Row],[Dekking]],""),""),""),""),""),""),""),""),""),"")</f>
        <v/>
      </c>
    </row>
    <row r="35" spans="2:8" x14ac:dyDescent="0.45">
      <c r="B35" s="4" t="s">
        <v>31</v>
      </c>
      <c r="D35" t="s">
        <v>73</v>
      </c>
      <c r="E35" s="27">
        <f>IFERROR(SUM(TC_DIA[Aantal subtrajecten]),"")</f>
        <v>0</v>
      </c>
      <c r="G35" s="27">
        <f>IFERROR(SUM(TC_DIA[KG CO2-uitstoot]),"")</f>
        <v>0</v>
      </c>
      <c r="H35" s="27">
        <f>IFERROR(SUM(TC_DIA[KG Afval]),"")</f>
        <v>0</v>
      </c>
    </row>
    <row r="36" spans="2:8" x14ac:dyDescent="0.45">
      <c r="D36" t="s">
        <v>29</v>
      </c>
      <c r="E36" s="27">
        <f>IFERROR(Input_OpenDIS_Zorgproducten!$O$6,"")</f>
        <v>0</v>
      </c>
      <c r="G36" s="9" t="str">
        <f>IFERROR(G35/E37,"")</f>
        <v/>
      </c>
      <c r="H36" s="9" t="str">
        <f>IFERROR(H35/E37,"")</f>
        <v/>
      </c>
    </row>
    <row r="37" spans="2:8" x14ac:dyDescent="0.45">
      <c r="D37" t="s">
        <v>74</v>
      </c>
      <c r="E37" s="28" t="str">
        <f>IFERROR(E35/E36,"")</f>
        <v/>
      </c>
    </row>
    <row r="40" spans="2:8" ht="16.5" x14ac:dyDescent="0.45">
      <c r="B40" s="5" t="s">
        <v>75</v>
      </c>
    </row>
    <row r="42" spans="2:8" x14ac:dyDescent="0.45">
      <c r="B42" t="s">
        <v>28</v>
      </c>
      <c r="C42" t="s">
        <v>33</v>
      </c>
      <c r="D42" t="s">
        <v>78</v>
      </c>
      <c r="E42" t="s">
        <v>30</v>
      </c>
      <c r="F42" t="s">
        <v>128</v>
      </c>
      <c r="G42" t="s">
        <v>72</v>
      </c>
      <c r="H42" t="s">
        <v>71</v>
      </c>
    </row>
    <row r="43" spans="2:8" x14ac:dyDescent="0.45">
      <c r="B43">
        <v>1</v>
      </c>
      <c r="C43" s="3">
        <f>IFERROR(IFERROR(IFERROR(IFERROR(IFERROR(IFERROR(IFERROR(IFERROR(IFERROR(IFERROR(_xlfn.XLOOKUP(TC_DIA8[[#This Row],[Rank]], Ranking_Zorgproducten[Rank zorgproduct], Ranking_Zorgproducten[Zorgproductcode]),""),""),""),""),""),""),""),""),""),"")</f>
        <v>0</v>
      </c>
      <c r="D43" t="str">
        <f>IFERROR(IFERROR(IFERROR(IFERROR(IFERROR(IFERROR(IFERROR(IFERROR(IFERROR(IFERROR(_xlfn.XLOOKUP(TC_DIA8[[#This Row],[Zorgproductcode]], I_OpenDIS_ZPR[Zorgproductcode], I_OpenDIS_ZPR[Zorgproduct - Omschrijving consument]),""),""),""),""),""),""),""),""),""),"")</f>
        <v/>
      </c>
      <c r="E43" s="9" t="str">
        <f>IFERROR(IFERROR(IFERROR(IFERROR(IFERROR(IFERROR(IFERROR(IFERROR(IFERROR(IFERROR(_xlfn.XLOOKUP(TC_DIA8[[#This Row],[Zorgproductcode]], Ranking_Zorgproducten[Zorgproductcode], Ranking_Zorgproducten[Fct_aantal_sbt_per_zpr]),""),""),""),""),""),""),""),""),""),"")</f>
        <v/>
      </c>
      <c r="F43" s="32" t="str">
        <f>IFERROR(IFERROR(IFERROR(IFERROR(IFERROR(IFERROR(IFERROR(IFERROR(IFERROR(IFERROR(SUMIFS(I_OpenDIS_ZGA[fct_aantal_zga], I_OpenDIS_ZGA[Zorgproductcode], TC_DIA8[[#This Row],[Zorgproductcode]], I_OpenDIS_ZGA[Relevante input?], 1) / SUMIFS(I_OpenDIS_ZGA[fct_aantal_zga], I_OpenDIS_ZGA[Zorgproductcode], TC_DIA8[[#This Row],[Zorgproductcode]]),""),""),""),""),""),""),""),""),""),"")</f>
        <v/>
      </c>
      <c r="G43" s="9" t="str">
        <f>IFERROR(IFERROR(IFERROR(IFERROR(IFERROR(IFERROR(IFERROR(IFERROR(IFERROR(IFERROR(SUMIFS(I_OpenDIS_ZGA[CO2-uitstoot activiteit], I_OpenDIS_ZGA[Zorgproductcode], TC_DIA8[[#This Row],[Zorgproductcode]]) / TC_DIA8[[#This Row],[Dekking]],""),""),""),""),""),""),""),""),""),"")</f>
        <v/>
      </c>
      <c r="H43" s="9" t="str">
        <f>IFERROR(IFERROR(IFERROR(IFERROR(IFERROR(IFERROR(IFERROR(IFERROR(IFERROR(IFERROR(SUMIFS(I_OpenDIS_ZGA[Afval activiteit], I_OpenDIS_ZGA[Zorgproductcode], TC_DIA8[[#This Row],[Zorgproductcode]]) / TC_DIA8[[#This Row],[Dekking]],""),""),""),""),""),""),""),""),""),"")</f>
        <v/>
      </c>
    </row>
    <row r="44" spans="2:8" x14ac:dyDescent="0.45">
      <c r="B44">
        <v>2</v>
      </c>
      <c r="C44" s="3" t="str">
        <f>IFERROR(IFERROR(IFERROR(IFERROR(IFERROR(IFERROR(IFERROR(IFERROR(IFERROR(IFERROR(_xlfn.XLOOKUP(TC_DIA8[[#This Row],[Rank]], Ranking_Zorgproducten[Rank zorgproduct], Ranking_Zorgproducten[Zorgproductcode]),""),""),""),""),""),""),""),""),""),"")</f>
        <v/>
      </c>
      <c r="D44" t="str">
        <f>IFERROR(IFERROR(IFERROR(IFERROR(IFERROR(IFERROR(IFERROR(IFERROR(IFERROR(IFERROR(_xlfn.XLOOKUP(TC_DIA8[[#This Row],[Zorgproductcode]], I_OpenDIS_ZPR[Zorgproductcode], I_OpenDIS_ZPR[Zorgproduct - Omschrijving consument]),""),""),""),""),""),""),""),""),""),"")</f>
        <v/>
      </c>
      <c r="E44" s="9" t="str">
        <f>IFERROR(IFERROR(IFERROR(IFERROR(IFERROR(IFERROR(IFERROR(IFERROR(IFERROR(IFERROR(_xlfn.XLOOKUP(TC_DIA8[[#This Row],[Zorgproductcode]], Ranking_Zorgproducten[Zorgproductcode], Ranking_Zorgproducten[Fct_aantal_sbt_per_zpr]),""),""),""),""),""),""),""),""),""),"")</f>
        <v/>
      </c>
      <c r="F44" s="32" t="str">
        <f>IFERROR(IFERROR(IFERROR(IFERROR(IFERROR(IFERROR(IFERROR(IFERROR(IFERROR(IFERROR(SUMIFS(I_OpenDIS_ZGA[fct_aantal_zga], I_OpenDIS_ZGA[Zorgproductcode], TC_DIA8[[#This Row],[Zorgproductcode]], I_OpenDIS_ZGA[Relevante input?], 1) / SUMIFS(I_OpenDIS_ZGA[fct_aantal_zga], I_OpenDIS_ZGA[Zorgproductcode], TC_DIA8[[#This Row],[Zorgproductcode]]),""),""),""),""),""),""),""),""),""),"")</f>
        <v/>
      </c>
      <c r="G44" s="9" t="str">
        <f>IFERROR(IFERROR(IFERROR(IFERROR(IFERROR(IFERROR(IFERROR(IFERROR(IFERROR(IFERROR(SUMIFS(I_OpenDIS_ZGA[CO2-uitstoot activiteit], I_OpenDIS_ZGA[Zorgproductcode], TC_DIA8[[#This Row],[Zorgproductcode]]) / TC_DIA8[[#This Row],[Dekking]],""),""),""),""),""),""),""),""),""),"")</f>
        <v/>
      </c>
      <c r="H44" s="9" t="str">
        <f>IFERROR(IFERROR(IFERROR(IFERROR(IFERROR(IFERROR(IFERROR(IFERROR(IFERROR(IFERROR(SUMIFS(I_OpenDIS_ZGA[Afval activiteit], I_OpenDIS_ZGA[Zorgproductcode], TC_DIA8[[#This Row],[Zorgproductcode]]) / TC_DIA8[[#This Row],[Dekking]],""),""),""),""),""),""),""),""),""),"")</f>
        <v/>
      </c>
    </row>
    <row r="45" spans="2:8" x14ac:dyDescent="0.45">
      <c r="B45">
        <v>3</v>
      </c>
      <c r="C45" s="3" t="str">
        <f>IFERROR(IFERROR(IFERROR(IFERROR(IFERROR(IFERROR(IFERROR(IFERROR(IFERROR(IFERROR(_xlfn.XLOOKUP(TC_DIA8[[#This Row],[Rank]], Ranking_Zorgproducten[Rank zorgproduct], Ranking_Zorgproducten[Zorgproductcode]),""),""),""),""),""),""),""),""),""),"")</f>
        <v/>
      </c>
      <c r="D45" t="str">
        <f>IFERROR(IFERROR(IFERROR(IFERROR(IFERROR(IFERROR(IFERROR(IFERROR(IFERROR(IFERROR(_xlfn.XLOOKUP(TC_DIA8[[#This Row],[Zorgproductcode]], I_OpenDIS_ZPR[Zorgproductcode], I_OpenDIS_ZPR[Zorgproduct - Omschrijving consument]),""),""),""),""),""),""),""),""),""),"")</f>
        <v/>
      </c>
      <c r="E45" s="9" t="str">
        <f>IFERROR(IFERROR(IFERROR(IFERROR(IFERROR(IFERROR(IFERROR(IFERROR(IFERROR(IFERROR(_xlfn.XLOOKUP(TC_DIA8[[#This Row],[Zorgproductcode]], Ranking_Zorgproducten[Zorgproductcode], Ranking_Zorgproducten[Fct_aantal_sbt_per_zpr]),""),""),""),""),""),""),""),""),""),"")</f>
        <v/>
      </c>
      <c r="F45" s="32" t="str">
        <f>IFERROR(IFERROR(IFERROR(IFERROR(IFERROR(IFERROR(IFERROR(IFERROR(IFERROR(IFERROR(SUMIFS(I_OpenDIS_ZGA[fct_aantal_zga], I_OpenDIS_ZGA[Zorgproductcode], TC_DIA8[[#This Row],[Zorgproductcode]], I_OpenDIS_ZGA[Relevante input?], 1) / SUMIFS(I_OpenDIS_ZGA[fct_aantal_zga], I_OpenDIS_ZGA[Zorgproductcode], TC_DIA8[[#This Row],[Zorgproductcode]]),""),""),""),""),""),""),""),""),""),"")</f>
        <v/>
      </c>
      <c r="G45" s="9" t="str">
        <f>IFERROR(IFERROR(IFERROR(IFERROR(IFERROR(IFERROR(IFERROR(IFERROR(IFERROR(IFERROR(SUMIFS(I_OpenDIS_ZGA[CO2-uitstoot activiteit], I_OpenDIS_ZGA[Zorgproductcode], TC_DIA8[[#This Row],[Zorgproductcode]]) / TC_DIA8[[#This Row],[Dekking]],""),""),""),""),""),""),""),""),""),"")</f>
        <v/>
      </c>
      <c r="H45" s="9" t="str">
        <f>IFERROR(IFERROR(IFERROR(IFERROR(IFERROR(IFERROR(IFERROR(IFERROR(IFERROR(IFERROR(SUMIFS(I_OpenDIS_ZGA[Afval activiteit], I_OpenDIS_ZGA[Zorgproductcode], TC_DIA8[[#This Row],[Zorgproductcode]]) / TC_DIA8[[#This Row],[Dekking]],""),""),""),""),""),""),""),""),""),"")</f>
        <v/>
      </c>
    </row>
    <row r="46" spans="2:8" x14ac:dyDescent="0.45">
      <c r="B46">
        <v>4</v>
      </c>
      <c r="C46" s="3" t="str">
        <f>IFERROR(IFERROR(IFERROR(IFERROR(IFERROR(IFERROR(IFERROR(IFERROR(IFERROR(IFERROR(_xlfn.XLOOKUP(TC_DIA8[[#This Row],[Rank]], Ranking_Zorgproducten[Rank zorgproduct], Ranking_Zorgproducten[Zorgproductcode]),""),""),""),""),""),""),""),""),""),"")</f>
        <v/>
      </c>
      <c r="D46" t="str">
        <f>IFERROR(IFERROR(IFERROR(IFERROR(IFERROR(IFERROR(IFERROR(IFERROR(IFERROR(IFERROR(_xlfn.XLOOKUP(TC_DIA8[[#This Row],[Zorgproductcode]], I_OpenDIS_ZPR[Zorgproductcode], I_OpenDIS_ZPR[Zorgproduct - Omschrijving consument]),""),""),""),""),""),""),""),""),""),"")</f>
        <v/>
      </c>
      <c r="E46" s="9" t="str">
        <f>IFERROR(IFERROR(IFERROR(IFERROR(IFERROR(IFERROR(IFERROR(IFERROR(IFERROR(IFERROR(_xlfn.XLOOKUP(TC_DIA8[[#This Row],[Zorgproductcode]], Ranking_Zorgproducten[Zorgproductcode], Ranking_Zorgproducten[Fct_aantal_sbt_per_zpr]),""),""),""),""),""),""),""),""),""),"")</f>
        <v/>
      </c>
      <c r="F46" s="32" t="str">
        <f>IFERROR(IFERROR(IFERROR(IFERROR(IFERROR(IFERROR(IFERROR(IFERROR(IFERROR(IFERROR(SUMIFS(I_OpenDIS_ZGA[fct_aantal_zga], I_OpenDIS_ZGA[Zorgproductcode], TC_DIA8[[#This Row],[Zorgproductcode]], I_OpenDIS_ZGA[Relevante input?], 1) / SUMIFS(I_OpenDIS_ZGA[fct_aantal_zga], I_OpenDIS_ZGA[Zorgproductcode], TC_DIA8[[#This Row],[Zorgproductcode]]),""),""),""),""),""),""),""),""),""),"")</f>
        <v/>
      </c>
      <c r="G46" s="9" t="str">
        <f>IFERROR(IFERROR(IFERROR(IFERROR(IFERROR(IFERROR(IFERROR(IFERROR(IFERROR(IFERROR(SUMIFS(I_OpenDIS_ZGA[CO2-uitstoot activiteit], I_OpenDIS_ZGA[Zorgproductcode], TC_DIA8[[#This Row],[Zorgproductcode]]) / TC_DIA8[[#This Row],[Dekking]],""),""),""),""),""),""),""),""),""),"")</f>
        <v/>
      </c>
      <c r="H46" s="9" t="str">
        <f>IFERROR(IFERROR(IFERROR(IFERROR(IFERROR(IFERROR(IFERROR(IFERROR(IFERROR(IFERROR(SUMIFS(I_OpenDIS_ZGA[Afval activiteit], I_OpenDIS_ZGA[Zorgproductcode], TC_DIA8[[#This Row],[Zorgproductcode]]) / TC_DIA8[[#This Row],[Dekking]],""),""),""),""),""),""),""),""),""),"")</f>
        <v/>
      </c>
    </row>
    <row r="47" spans="2:8" x14ac:dyDescent="0.45">
      <c r="B47">
        <v>5</v>
      </c>
      <c r="C47" s="3" t="str">
        <f>IFERROR(IFERROR(IFERROR(IFERROR(IFERROR(IFERROR(IFERROR(IFERROR(IFERROR(IFERROR(_xlfn.XLOOKUP(TC_DIA8[[#This Row],[Rank]], Ranking_Zorgproducten[Rank zorgproduct], Ranking_Zorgproducten[Zorgproductcode]),""),""),""),""),""),""),""),""),""),"")</f>
        <v/>
      </c>
      <c r="D47" t="str">
        <f>IFERROR(IFERROR(IFERROR(IFERROR(IFERROR(IFERROR(IFERROR(IFERROR(IFERROR(IFERROR(_xlfn.XLOOKUP(TC_DIA8[[#This Row],[Zorgproductcode]], I_OpenDIS_ZPR[Zorgproductcode], I_OpenDIS_ZPR[Zorgproduct - Omschrijving consument]),""),""),""),""),""),""),""),""),""),"")</f>
        <v/>
      </c>
      <c r="E47" s="9" t="str">
        <f>IFERROR(IFERROR(IFERROR(IFERROR(IFERROR(IFERROR(IFERROR(IFERROR(IFERROR(IFERROR(_xlfn.XLOOKUP(TC_DIA8[[#This Row],[Zorgproductcode]], Ranking_Zorgproducten[Zorgproductcode], Ranking_Zorgproducten[Fct_aantal_sbt_per_zpr]),""),""),""),""),""),""),""),""),""),"")</f>
        <v/>
      </c>
      <c r="F47" s="32" t="str">
        <f>IFERROR(IFERROR(IFERROR(IFERROR(IFERROR(IFERROR(IFERROR(IFERROR(IFERROR(IFERROR(SUMIFS(I_OpenDIS_ZGA[fct_aantal_zga], I_OpenDIS_ZGA[Zorgproductcode], TC_DIA8[[#This Row],[Zorgproductcode]], I_OpenDIS_ZGA[Relevante input?], 1) / SUMIFS(I_OpenDIS_ZGA[fct_aantal_zga], I_OpenDIS_ZGA[Zorgproductcode], TC_DIA8[[#This Row],[Zorgproductcode]]),""),""),""),""),""),""),""),""),""),"")</f>
        <v/>
      </c>
      <c r="G47" s="9" t="str">
        <f>IFERROR(IFERROR(IFERROR(IFERROR(IFERROR(IFERROR(IFERROR(IFERROR(IFERROR(IFERROR(SUMIFS(I_OpenDIS_ZGA[CO2-uitstoot activiteit], I_OpenDIS_ZGA[Zorgproductcode], TC_DIA8[[#This Row],[Zorgproductcode]]) / TC_DIA8[[#This Row],[Dekking]],""),""),""),""),""),""),""),""),""),"")</f>
        <v/>
      </c>
      <c r="H47" s="9" t="str">
        <f>IFERROR(IFERROR(IFERROR(IFERROR(IFERROR(IFERROR(IFERROR(IFERROR(IFERROR(IFERROR(SUMIFS(I_OpenDIS_ZGA[Afval activiteit], I_OpenDIS_ZGA[Zorgproductcode], TC_DIA8[[#This Row],[Zorgproductcode]]) / TC_DIA8[[#This Row],[Dekking]],""),""),""),""),""),""),""),""),""),"")</f>
        <v/>
      </c>
    </row>
    <row r="48" spans="2:8" x14ac:dyDescent="0.45">
      <c r="B48">
        <v>6</v>
      </c>
      <c r="C48" s="3" t="str">
        <f>IFERROR(IFERROR(IFERROR(IFERROR(IFERROR(IFERROR(IFERROR(IFERROR(IFERROR(IFERROR(_xlfn.XLOOKUP(TC_DIA8[[#This Row],[Rank]], Ranking_Zorgproducten[Rank zorgproduct], Ranking_Zorgproducten[Zorgproductcode]),""),""),""),""),""),""),""),""),""),"")</f>
        <v/>
      </c>
      <c r="D48" t="str">
        <f>IFERROR(IFERROR(IFERROR(IFERROR(IFERROR(IFERROR(IFERROR(IFERROR(IFERROR(IFERROR(_xlfn.XLOOKUP(TC_DIA8[[#This Row],[Zorgproductcode]], I_OpenDIS_ZPR[Zorgproductcode], I_OpenDIS_ZPR[Zorgproduct - Omschrijving consument]),""),""),""),""),""),""),""),""),""),"")</f>
        <v/>
      </c>
      <c r="E48" s="9" t="str">
        <f>IFERROR(IFERROR(IFERROR(IFERROR(IFERROR(IFERROR(IFERROR(IFERROR(IFERROR(IFERROR(_xlfn.XLOOKUP(TC_DIA8[[#This Row],[Zorgproductcode]], Ranking_Zorgproducten[Zorgproductcode], Ranking_Zorgproducten[Fct_aantal_sbt_per_zpr]),""),""),""),""),""),""),""),""),""),"")</f>
        <v/>
      </c>
      <c r="F48" s="32" t="str">
        <f>IFERROR(IFERROR(IFERROR(IFERROR(IFERROR(IFERROR(IFERROR(IFERROR(IFERROR(IFERROR(SUMIFS(I_OpenDIS_ZGA[fct_aantal_zga], I_OpenDIS_ZGA[Zorgproductcode], TC_DIA8[[#This Row],[Zorgproductcode]], I_OpenDIS_ZGA[Relevante input?], 1) / SUMIFS(I_OpenDIS_ZGA[fct_aantal_zga], I_OpenDIS_ZGA[Zorgproductcode], TC_DIA8[[#This Row],[Zorgproductcode]]),""),""),""),""),""),""),""),""),""),"")</f>
        <v/>
      </c>
      <c r="G48" s="9" t="str">
        <f>IFERROR(IFERROR(IFERROR(IFERROR(IFERROR(IFERROR(IFERROR(IFERROR(IFERROR(IFERROR(SUMIFS(I_OpenDIS_ZGA[CO2-uitstoot activiteit], I_OpenDIS_ZGA[Zorgproductcode], TC_DIA8[[#This Row],[Zorgproductcode]]) / TC_DIA8[[#This Row],[Dekking]],""),""),""),""),""),""),""),""),""),"")</f>
        <v/>
      </c>
      <c r="H48" s="9" t="str">
        <f>IFERROR(IFERROR(IFERROR(IFERROR(IFERROR(IFERROR(IFERROR(IFERROR(IFERROR(IFERROR(SUMIFS(I_OpenDIS_ZGA[Afval activiteit], I_OpenDIS_ZGA[Zorgproductcode], TC_DIA8[[#This Row],[Zorgproductcode]]) / TC_DIA8[[#This Row],[Dekking]],""),""),""),""),""),""),""),""),""),"")</f>
        <v/>
      </c>
    </row>
    <row r="49" spans="2:8" x14ac:dyDescent="0.45">
      <c r="B49">
        <v>7</v>
      </c>
      <c r="C49" s="3" t="str">
        <f>IFERROR(IFERROR(IFERROR(IFERROR(IFERROR(IFERROR(IFERROR(IFERROR(IFERROR(IFERROR(_xlfn.XLOOKUP(TC_DIA8[[#This Row],[Rank]], Ranking_Zorgproducten[Rank zorgproduct], Ranking_Zorgproducten[Zorgproductcode]),""),""),""),""),""),""),""),""),""),"")</f>
        <v/>
      </c>
      <c r="D49" t="str">
        <f>IFERROR(IFERROR(IFERROR(IFERROR(IFERROR(IFERROR(IFERROR(IFERROR(IFERROR(IFERROR(_xlfn.XLOOKUP(TC_DIA8[[#This Row],[Zorgproductcode]], I_OpenDIS_ZPR[Zorgproductcode], I_OpenDIS_ZPR[Zorgproduct - Omschrijving consument]),""),""),""),""),""),""),""),""),""),"")</f>
        <v/>
      </c>
      <c r="E49" s="9" t="str">
        <f>IFERROR(IFERROR(IFERROR(IFERROR(IFERROR(IFERROR(IFERROR(IFERROR(IFERROR(IFERROR(_xlfn.XLOOKUP(TC_DIA8[[#This Row],[Zorgproductcode]], Ranking_Zorgproducten[Zorgproductcode], Ranking_Zorgproducten[Fct_aantal_sbt_per_zpr]),""),""),""),""),""),""),""),""),""),"")</f>
        <v/>
      </c>
      <c r="F49" s="32" t="str">
        <f>IFERROR(IFERROR(IFERROR(IFERROR(IFERROR(IFERROR(IFERROR(IFERROR(IFERROR(IFERROR(SUMIFS(I_OpenDIS_ZGA[fct_aantal_zga], I_OpenDIS_ZGA[Zorgproductcode], TC_DIA8[[#This Row],[Zorgproductcode]], I_OpenDIS_ZGA[Relevante input?], 1) / SUMIFS(I_OpenDIS_ZGA[fct_aantal_zga], I_OpenDIS_ZGA[Zorgproductcode], TC_DIA8[[#This Row],[Zorgproductcode]]),""),""),""),""),""),""),""),""),""),"")</f>
        <v/>
      </c>
      <c r="G49" s="9" t="str">
        <f>IFERROR(IFERROR(IFERROR(IFERROR(IFERROR(IFERROR(IFERROR(IFERROR(IFERROR(IFERROR(SUMIFS(I_OpenDIS_ZGA[CO2-uitstoot activiteit], I_OpenDIS_ZGA[Zorgproductcode], TC_DIA8[[#This Row],[Zorgproductcode]]) / TC_DIA8[[#This Row],[Dekking]],""),""),""),""),""),""),""),""),""),"")</f>
        <v/>
      </c>
      <c r="H49" s="9" t="str">
        <f>IFERROR(IFERROR(IFERROR(IFERROR(IFERROR(IFERROR(IFERROR(IFERROR(IFERROR(IFERROR(SUMIFS(I_OpenDIS_ZGA[Afval activiteit], I_OpenDIS_ZGA[Zorgproductcode], TC_DIA8[[#This Row],[Zorgproductcode]]) / TC_DIA8[[#This Row],[Dekking]],""),""),""),""),""),""),""),""),""),"")</f>
        <v/>
      </c>
    </row>
    <row r="50" spans="2:8" x14ac:dyDescent="0.45">
      <c r="B50">
        <v>8</v>
      </c>
      <c r="C50" s="3" t="str">
        <f>IFERROR(IFERROR(IFERROR(IFERROR(IFERROR(IFERROR(IFERROR(IFERROR(IFERROR(IFERROR(_xlfn.XLOOKUP(TC_DIA8[[#This Row],[Rank]], Ranking_Zorgproducten[Rank zorgproduct], Ranking_Zorgproducten[Zorgproductcode]),""),""),""),""),""),""),""),""),""),"")</f>
        <v/>
      </c>
      <c r="D50" t="str">
        <f>IFERROR(IFERROR(IFERROR(IFERROR(IFERROR(IFERROR(IFERROR(IFERROR(IFERROR(IFERROR(_xlfn.XLOOKUP(TC_DIA8[[#This Row],[Zorgproductcode]], I_OpenDIS_ZPR[Zorgproductcode], I_OpenDIS_ZPR[Zorgproduct - Omschrijving consument]),""),""),""),""),""),""),""),""),""),"")</f>
        <v/>
      </c>
      <c r="E50" s="9" t="str">
        <f>IFERROR(IFERROR(IFERROR(IFERROR(IFERROR(IFERROR(IFERROR(IFERROR(IFERROR(IFERROR(_xlfn.XLOOKUP(TC_DIA8[[#This Row],[Zorgproductcode]], Ranking_Zorgproducten[Zorgproductcode], Ranking_Zorgproducten[Fct_aantal_sbt_per_zpr]),""),""),""),""),""),""),""),""),""),"")</f>
        <v/>
      </c>
      <c r="F50" s="32" t="str">
        <f>IFERROR(IFERROR(IFERROR(IFERROR(IFERROR(IFERROR(IFERROR(IFERROR(IFERROR(IFERROR(SUMIFS(I_OpenDIS_ZGA[fct_aantal_zga], I_OpenDIS_ZGA[Zorgproductcode], TC_DIA8[[#This Row],[Zorgproductcode]], I_OpenDIS_ZGA[Relevante input?], 1) / SUMIFS(I_OpenDIS_ZGA[fct_aantal_zga], I_OpenDIS_ZGA[Zorgproductcode], TC_DIA8[[#This Row],[Zorgproductcode]]),""),""),""),""),""),""),""),""),""),"")</f>
        <v/>
      </c>
      <c r="G50" s="9" t="str">
        <f>IFERROR(IFERROR(IFERROR(IFERROR(IFERROR(IFERROR(IFERROR(IFERROR(IFERROR(IFERROR(SUMIFS(I_OpenDIS_ZGA[CO2-uitstoot activiteit], I_OpenDIS_ZGA[Zorgproductcode], TC_DIA8[[#This Row],[Zorgproductcode]]) / TC_DIA8[[#This Row],[Dekking]],""),""),""),""),""),""),""),""),""),"")</f>
        <v/>
      </c>
      <c r="H50" s="9" t="str">
        <f>IFERROR(IFERROR(IFERROR(IFERROR(IFERROR(IFERROR(IFERROR(IFERROR(IFERROR(IFERROR(SUMIFS(I_OpenDIS_ZGA[Afval activiteit], I_OpenDIS_ZGA[Zorgproductcode], TC_DIA8[[#This Row],[Zorgproductcode]]) / TC_DIA8[[#This Row],[Dekking]],""),""),""),""),""),""),""),""),""),"")</f>
        <v/>
      </c>
    </row>
    <row r="51" spans="2:8" x14ac:dyDescent="0.45">
      <c r="B51">
        <v>9</v>
      </c>
      <c r="C51" s="3" t="str">
        <f>IFERROR(IFERROR(IFERROR(IFERROR(IFERROR(IFERROR(IFERROR(IFERROR(IFERROR(IFERROR(_xlfn.XLOOKUP(TC_DIA8[[#This Row],[Rank]], Ranking_Zorgproducten[Rank zorgproduct], Ranking_Zorgproducten[Zorgproductcode]),""),""),""),""),""),""),""),""),""),"")</f>
        <v/>
      </c>
      <c r="D51" t="str">
        <f>IFERROR(IFERROR(IFERROR(IFERROR(IFERROR(IFERROR(IFERROR(IFERROR(IFERROR(IFERROR(_xlfn.XLOOKUP(TC_DIA8[[#This Row],[Zorgproductcode]], I_OpenDIS_ZPR[Zorgproductcode], I_OpenDIS_ZPR[Zorgproduct - Omschrijving consument]),""),""),""),""),""),""),""),""),""),"")</f>
        <v/>
      </c>
      <c r="E51" s="9" t="str">
        <f>IFERROR(IFERROR(IFERROR(IFERROR(IFERROR(IFERROR(IFERROR(IFERROR(IFERROR(IFERROR(_xlfn.XLOOKUP(TC_DIA8[[#This Row],[Zorgproductcode]], Ranking_Zorgproducten[Zorgproductcode], Ranking_Zorgproducten[Fct_aantal_sbt_per_zpr]),""),""),""),""),""),""),""),""),""),"")</f>
        <v/>
      </c>
      <c r="F51" s="32" t="str">
        <f>IFERROR(IFERROR(IFERROR(IFERROR(IFERROR(IFERROR(IFERROR(IFERROR(IFERROR(IFERROR(SUMIFS(I_OpenDIS_ZGA[fct_aantal_zga], I_OpenDIS_ZGA[Zorgproductcode], TC_DIA8[[#This Row],[Zorgproductcode]], I_OpenDIS_ZGA[Relevante input?], 1) / SUMIFS(I_OpenDIS_ZGA[fct_aantal_zga], I_OpenDIS_ZGA[Zorgproductcode], TC_DIA8[[#This Row],[Zorgproductcode]]),""),""),""),""),""),""),""),""),""),"")</f>
        <v/>
      </c>
      <c r="G51" s="9" t="str">
        <f>IFERROR(IFERROR(IFERROR(IFERROR(IFERROR(IFERROR(IFERROR(IFERROR(IFERROR(IFERROR(SUMIFS(I_OpenDIS_ZGA[CO2-uitstoot activiteit], I_OpenDIS_ZGA[Zorgproductcode], TC_DIA8[[#This Row],[Zorgproductcode]]) / TC_DIA8[[#This Row],[Dekking]],""),""),""),""),""),""),""),""),""),"")</f>
        <v/>
      </c>
      <c r="H51" s="9" t="str">
        <f>IFERROR(IFERROR(IFERROR(IFERROR(IFERROR(IFERROR(IFERROR(IFERROR(IFERROR(IFERROR(SUMIFS(I_OpenDIS_ZGA[Afval activiteit], I_OpenDIS_ZGA[Zorgproductcode], TC_DIA8[[#This Row],[Zorgproductcode]]) / TC_DIA8[[#This Row],[Dekking]],""),""),""),""),""),""),""),""),""),"")</f>
        <v/>
      </c>
    </row>
    <row r="52" spans="2:8" x14ac:dyDescent="0.45">
      <c r="B52">
        <v>10</v>
      </c>
      <c r="C52" s="3" t="str">
        <f>IFERROR(IFERROR(IFERROR(IFERROR(IFERROR(IFERROR(IFERROR(IFERROR(IFERROR(IFERROR(_xlfn.XLOOKUP(TC_DIA8[[#This Row],[Rank]], Ranking_Zorgproducten[Rank zorgproduct], Ranking_Zorgproducten[Zorgproductcode]),""),""),""),""),""),""),""),""),""),"")</f>
        <v/>
      </c>
      <c r="D52" t="str">
        <f>IFERROR(IFERROR(IFERROR(IFERROR(IFERROR(IFERROR(IFERROR(IFERROR(IFERROR(IFERROR(_xlfn.XLOOKUP(TC_DIA8[[#This Row],[Zorgproductcode]], I_OpenDIS_ZPR[Zorgproductcode], I_OpenDIS_ZPR[Zorgproduct - Omschrijving consument]),""),""),""),""),""),""),""),""),""),"")</f>
        <v/>
      </c>
      <c r="E52" s="9" t="str">
        <f>IFERROR(IFERROR(IFERROR(IFERROR(IFERROR(IFERROR(IFERROR(IFERROR(IFERROR(IFERROR(_xlfn.XLOOKUP(TC_DIA8[[#This Row],[Zorgproductcode]], Ranking_Zorgproducten[Zorgproductcode], Ranking_Zorgproducten[Fct_aantal_sbt_per_zpr]),""),""),""),""),""),""),""),""),""),"")</f>
        <v/>
      </c>
      <c r="F52" s="32" t="str">
        <f>IFERROR(IFERROR(IFERROR(IFERROR(IFERROR(IFERROR(IFERROR(IFERROR(IFERROR(IFERROR(SUMIFS(I_OpenDIS_ZGA[fct_aantal_zga], I_OpenDIS_ZGA[Zorgproductcode], TC_DIA8[[#This Row],[Zorgproductcode]], I_OpenDIS_ZGA[Relevante input?], 1) / SUMIFS(I_OpenDIS_ZGA[fct_aantal_zga], I_OpenDIS_ZGA[Zorgproductcode], TC_DIA8[[#This Row],[Zorgproductcode]]),""),""),""),""),""),""),""),""),""),"")</f>
        <v/>
      </c>
      <c r="G52" s="9" t="str">
        <f>IFERROR(IFERROR(IFERROR(IFERROR(IFERROR(IFERROR(IFERROR(IFERROR(IFERROR(IFERROR(SUMIFS(I_OpenDIS_ZGA[CO2-uitstoot activiteit], I_OpenDIS_ZGA[Zorgproductcode], TC_DIA8[[#This Row],[Zorgproductcode]]) / TC_DIA8[[#This Row],[Dekking]],""),""),""),""),""),""),""),""),""),"")</f>
        <v/>
      </c>
      <c r="H52" s="9" t="str">
        <f>IFERROR(IFERROR(IFERROR(IFERROR(IFERROR(IFERROR(IFERROR(IFERROR(IFERROR(IFERROR(SUMIFS(I_OpenDIS_ZGA[Afval activiteit], I_OpenDIS_ZGA[Zorgproductcode], TC_DIA8[[#This Row],[Zorgproductcode]]) / TC_DIA8[[#This Row],[Dekking]],""),""),""),""),""),""),""),""),""),"")</f>
        <v/>
      </c>
    </row>
    <row r="54" spans="2:8" x14ac:dyDescent="0.45">
      <c r="B54" s="4" t="s">
        <v>83</v>
      </c>
      <c r="D54" t="s">
        <v>87</v>
      </c>
      <c r="E54" s="27">
        <f>IFERROR(SUM(TC_DIA8[Aantal subtrajecten]),"")</f>
        <v>0</v>
      </c>
      <c r="G54" s="27">
        <f>IFERROR(SUM(TC_DIA8[KG CO2-uitstoot]),"")</f>
        <v>0</v>
      </c>
      <c r="H54" s="27">
        <f>IFERROR(SUM(TC_DIA8[KG Afval]),"")</f>
        <v>0</v>
      </c>
    </row>
    <row r="55" spans="2:8" x14ac:dyDescent="0.45">
      <c r="D55" t="s">
        <v>29</v>
      </c>
      <c r="E55" s="27">
        <f>IFERROR(Input_OpenDIS_Zorgproducten!$O$6,"")</f>
        <v>0</v>
      </c>
      <c r="G55" s="9" t="str">
        <f>IFERROR(G54/E56,"")</f>
        <v/>
      </c>
      <c r="H55" s="9" t="str">
        <f>IFERROR(H54/E56,"")</f>
        <v/>
      </c>
    </row>
    <row r="56" spans="2:8" x14ac:dyDescent="0.45">
      <c r="D56" t="s">
        <v>74</v>
      </c>
      <c r="E56" s="28" t="str">
        <f>IFERROR(E54/E55,"")</f>
        <v/>
      </c>
    </row>
    <row r="59" spans="2:8" ht="16.5" x14ac:dyDescent="0.45">
      <c r="B59" s="5" t="s">
        <v>84</v>
      </c>
    </row>
    <row r="61" spans="2:8" x14ac:dyDescent="0.45">
      <c r="B61" t="s">
        <v>28</v>
      </c>
      <c r="C61" t="s">
        <v>37</v>
      </c>
      <c r="D61" t="s">
        <v>43</v>
      </c>
      <c r="E61" t="s">
        <v>85</v>
      </c>
      <c r="F61" t="s">
        <v>128</v>
      </c>
      <c r="G61" t="s">
        <v>72</v>
      </c>
      <c r="H61" t="s">
        <v>71</v>
      </c>
    </row>
    <row r="62" spans="2:8" x14ac:dyDescent="0.45">
      <c r="B62">
        <v>1</v>
      </c>
      <c r="C62" s="3">
        <f>IFERROR(IFERROR(IFERROR(IFERROR(IFERROR(IFERROR(IFERROR(IFERROR(IFERROR(IFERROR(_xlfn.XLOOKUP(TC_DIA811[[#This Row],[Rank]], Ranking_Zorgactiviteiten[Rank diagnose], Ranking_Zorgactiviteiten[Zorgactiviteitcode]),""),""),""),""),""),""),""),""),""),"")</f>
        <v>0</v>
      </c>
      <c r="D62" t="str">
        <f>IFERROR(IFERROR(IFERROR(IFERROR(IFERROR(IFERROR(IFERROR(IFERROR(IFERROR(IFERROR(_xlfn.XLOOKUP(TC_DIA811[[#This Row],[Zorgactiviteitcode]], Ranking_Zorgactiviteiten[Zorgactiviteitcode], Ranking_Zorgactiviteiten[Zorgactiviteit]),""),""),""),""),""),""),""),""),""),"")</f>
        <v/>
      </c>
      <c r="E62" s="9" t="str">
        <f>IFERROR(IFERROR(IFERROR(IFERROR(IFERROR(IFERROR(IFERROR(IFERROR(IFERROR(IFERROR(_xlfn.XLOOKUP(TC_DIA811[[#This Row],[Zorgactiviteitcode]], Ranking_Zorgactiviteiten[Zorgactiviteitcode], Ranking_Zorgactiviteiten[Fct_aantal_zga]),""),""),""),""),""),""),""),""),""),"")</f>
        <v/>
      </c>
      <c r="F62" s="32" t="str">
        <f>IFERROR(IFERROR(IFERROR(IFERROR(IFERROR(IFERROR(IFERROR(IFERROR(IFERROR(IFERROR(SUMIFS(I_OpenDIS_ZGA[fct_aantal_zga], I_OpenDIS_ZGA[Zorgactiviteitcode], TC_DIA811[[#This Row],[Zorgactiviteitcode]], I_OpenDIS_ZGA[Relevante input?], 1) / SUMIFS(I_OpenDIS_ZGA[fct_aantal_zga], I_OpenDIS_ZGA[Zorgactiviteitcode], TC_DIA811[[#This Row],[Zorgactiviteitcode]]),""),""),""),""),""),""),""),""),""),"")</f>
        <v/>
      </c>
      <c r="G62" s="9" t="str">
        <f>IFERROR(IFERROR(IFERROR(IFERROR(IFERROR(IFERROR(IFERROR(IFERROR(IFERROR(IFERROR(SUMIFS(I_OpenDIS_ZGA[CO2-uitstoot activiteit], I_OpenDIS_ZGA[Zorgactiviteitcode], TC_DIA811[[#This Row],[Zorgactiviteitcode]]) / TC_DIA811[[#This Row],[Dekking]],""),""),""),""),""),""),""),""),""),"")</f>
        <v/>
      </c>
      <c r="H62" s="9" t="str">
        <f>IFERROR(IFERROR(IFERROR(IFERROR(IFERROR(IFERROR(IFERROR(IFERROR(IFERROR(IFERROR(SUMIFS(I_OpenDIS_ZGA[Afval activiteit], I_OpenDIS_ZGA[Zorgactiviteitcode], TC_DIA811[[#This Row],[Zorgactiviteitcode]]) / TC_DIA811[[#This Row],[Dekking]],""),""),""),""),""),""),""),""),""),"")</f>
        <v/>
      </c>
    </row>
    <row r="63" spans="2:8" x14ac:dyDescent="0.45">
      <c r="B63">
        <v>2</v>
      </c>
      <c r="C63" s="3" t="str">
        <f>IFERROR(IFERROR(IFERROR(IFERROR(IFERROR(IFERROR(IFERROR(IFERROR(IFERROR(IFERROR(_xlfn.XLOOKUP(TC_DIA811[[#This Row],[Rank]], Ranking_Zorgactiviteiten[Rank diagnose], Ranking_Zorgactiviteiten[Zorgactiviteitcode]),""),""),""),""),""),""),""),""),""),"")</f>
        <v/>
      </c>
      <c r="D63" t="str">
        <f>IFERROR(IFERROR(IFERROR(IFERROR(IFERROR(IFERROR(IFERROR(IFERROR(IFERROR(IFERROR(_xlfn.XLOOKUP(TC_DIA811[[#This Row],[Zorgactiviteitcode]], Ranking_Zorgactiviteiten[Zorgactiviteitcode], Ranking_Zorgactiviteiten[Zorgactiviteit]),""),""),""),""),""),""),""),""),""),"")</f>
        <v/>
      </c>
      <c r="E63" s="9" t="str">
        <f>IFERROR(IFERROR(IFERROR(IFERROR(IFERROR(IFERROR(IFERROR(IFERROR(IFERROR(IFERROR(_xlfn.XLOOKUP(TC_DIA811[[#This Row],[Zorgactiviteitcode]], Ranking_Zorgactiviteiten[Zorgactiviteitcode], Ranking_Zorgactiviteiten[Fct_aantal_zga]),""),""),""),""),""),""),""),""),""),"")</f>
        <v/>
      </c>
      <c r="F63" s="32" t="str">
        <f>IFERROR(IFERROR(IFERROR(IFERROR(IFERROR(IFERROR(IFERROR(IFERROR(IFERROR(IFERROR(SUMIFS(I_OpenDIS_ZGA[fct_aantal_zga], I_OpenDIS_ZGA[Zorgactiviteitcode], TC_DIA811[[#This Row],[Zorgactiviteitcode]], I_OpenDIS_ZGA[Relevante input?], 1) / SUMIFS(I_OpenDIS_ZGA[fct_aantal_zga], I_OpenDIS_ZGA[Zorgactiviteitcode], TC_DIA811[[#This Row],[Zorgactiviteitcode]]),""),""),""),""),""),""),""),""),""),"")</f>
        <v/>
      </c>
      <c r="G63" s="9" t="str">
        <f>IFERROR(IFERROR(IFERROR(IFERROR(IFERROR(IFERROR(IFERROR(IFERROR(IFERROR(IFERROR(SUMIFS(I_OpenDIS_ZGA[CO2-uitstoot activiteit], I_OpenDIS_ZGA[Zorgactiviteitcode], TC_DIA811[[#This Row],[Zorgactiviteitcode]]) / TC_DIA811[[#This Row],[Dekking]],""),""),""),""),""),""),""),""),""),"")</f>
        <v/>
      </c>
      <c r="H63" s="9" t="str">
        <f>IFERROR(IFERROR(IFERROR(IFERROR(IFERROR(IFERROR(IFERROR(IFERROR(IFERROR(IFERROR(SUMIFS(I_OpenDIS_ZGA[Afval activiteit], I_OpenDIS_ZGA[Zorgactiviteitcode], TC_DIA811[[#This Row],[Zorgactiviteitcode]]) / TC_DIA811[[#This Row],[Dekking]],""),""),""),""),""),""),""),""),""),"")</f>
        <v/>
      </c>
    </row>
    <row r="64" spans="2:8" x14ac:dyDescent="0.45">
      <c r="B64">
        <v>3</v>
      </c>
      <c r="C64" s="3" t="str">
        <f>IFERROR(IFERROR(IFERROR(IFERROR(IFERROR(IFERROR(IFERROR(IFERROR(IFERROR(IFERROR(_xlfn.XLOOKUP(TC_DIA811[[#This Row],[Rank]], Ranking_Zorgactiviteiten[Rank diagnose], Ranking_Zorgactiviteiten[Zorgactiviteitcode]),""),""),""),""),""),""),""),""),""),"")</f>
        <v/>
      </c>
      <c r="D64" t="str">
        <f>IFERROR(IFERROR(IFERROR(IFERROR(IFERROR(IFERROR(IFERROR(IFERROR(IFERROR(IFERROR(_xlfn.XLOOKUP(TC_DIA811[[#This Row],[Zorgactiviteitcode]], Ranking_Zorgactiviteiten[Zorgactiviteitcode], Ranking_Zorgactiviteiten[Zorgactiviteit]),""),""),""),""),""),""),""),""),""),"")</f>
        <v/>
      </c>
      <c r="E64" s="9" t="str">
        <f>IFERROR(IFERROR(IFERROR(IFERROR(IFERROR(IFERROR(IFERROR(IFERROR(IFERROR(IFERROR(_xlfn.XLOOKUP(TC_DIA811[[#This Row],[Zorgactiviteitcode]], Ranking_Zorgactiviteiten[Zorgactiviteitcode], Ranking_Zorgactiviteiten[Fct_aantal_zga]),""),""),""),""),""),""),""),""),""),"")</f>
        <v/>
      </c>
      <c r="F64" s="32" t="str">
        <f>IFERROR(IFERROR(IFERROR(IFERROR(IFERROR(IFERROR(IFERROR(IFERROR(IFERROR(IFERROR(SUMIFS(I_OpenDIS_ZGA[fct_aantal_zga], I_OpenDIS_ZGA[Zorgactiviteitcode], TC_DIA811[[#This Row],[Zorgactiviteitcode]], I_OpenDIS_ZGA[Relevante input?], 1) / SUMIFS(I_OpenDIS_ZGA[fct_aantal_zga], I_OpenDIS_ZGA[Zorgactiviteitcode], TC_DIA811[[#This Row],[Zorgactiviteitcode]]),""),""),""),""),""),""),""),""),""),"")</f>
        <v/>
      </c>
      <c r="G64" s="9" t="str">
        <f>IFERROR(IFERROR(IFERROR(IFERROR(IFERROR(IFERROR(IFERROR(IFERROR(IFERROR(IFERROR(SUMIFS(I_OpenDIS_ZGA[CO2-uitstoot activiteit], I_OpenDIS_ZGA[Zorgactiviteitcode], TC_DIA811[[#This Row],[Zorgactiviteitcode]]) / TC_DIA811[[#This Row],[Dekking]],""),""),""),""),""),""),""),""),""),"")</f>
        <v/>
      </c>
      <c r="H64" s="9" t="str">
        <f>IFERROR(IFERROR(IFERROR(IFERROR(IFERROR(IFERROR(IFERROR(IFERROR(IFERROR(IFERROR(SUMIFS(I_OpenDIS_ZGA[Afval activiteit], I_OpenDIS_ZGA[Zorgactiviteitcode], TC_DIA811[[#This Row],[Zorgactiviteitcode]]) / TC_DIA811[[#This Row],[Dekking]],""),""),""),""),""),""),""),""),""),"")</f>
        <v/>
      </c>
    </row>
    <row r="65" spans="2:8" x14ac:dyDescent="0.45">
      <c r="B65">
        <v>4</v>
      </c>
      <c r="C65" s="3" t="str">
        <f>IFERROR(IFERROR(IFERROR(IFERROR(IFERROR(IFERROR(IFERROR(IFERROR(IFERROR(IFERROR(_xlfn.XLOOKUP(TC_DIA811[[#This Row],[Rank]], Ranking_Zorgactiviteiten[Rank diagnose], Ranking_Zorgactiviteiten[Zorgactiviteitcode]),""),""),""),""),""),""),""),""),""),"")</f>
        <v/>
      </c>
      <c r="D65" t="str">
        <f>IFERROR(IFERROR(IFERROR(IFERROR(IFERROR(IFERROR(IFERROR(IFERROR(IFERROR(IFERROR(_xlfn.XLOOKUP(TC_DIA811[[#This Row],[Zorgactiviteitcode]], Ranking_Zorgactiviteiten[Zorgactiviteitcode], Ranking_Zorgactiviteiten[Zorgactiviteit]),""),""),""),""),""),""),""),""),""),"")</f>
        <v/>
      </c>
      <c r="E65" s="9" t="str">
        <f>IFERROR(IFERROR(IFERROR(IFERROR(IFERROR(IFERROR(IFERROR(IFERROR(IFERROR(IFERROR(_xlfn.XLOOKUP(TC_DIA811[[#This Row],[Zorgactiviteitcode]], Ranking_Zorgactiviteiten[Zorgactiviteitcode], Ranking_Zorgactiviteiten[Fct_aantal_zga]),""),""),""),""),""),""),""),""),""),"")</f>
        <v/>
      </c>
      <c r="F65" s="32" t="str">
        <f>IFERROR(IFERROR(IFERROR(IFERROR(IFERROR(IFERROR(IFERROR(IFERROR(IFERROR(IFERROR(SUMIFS(I_OpenDIS_ZGA[fct_aantal_zga], I_OpenDIS_ZGA[Zorgactiviteitcode], TC_DIA811[[#This Row],[Zorgactiviteitcode]], I_OpenDIS_ZGA[Relevante input?], 1) / SUMIFS(I_OpenDIS_ZGA[fct_aantal_zga], I_OpenDIS_ZGA[Zorgactiviteitcode], TC_DIA811[[#This Row],[Zorgactiviteitcode]]),""),""),""),""),""),""),""),""),""),"")</f>
        <v/>
      </c>
      <c r="G65" s="9" t="str">
        <f>IFERROR(IFERROR(IFERROR(IFERROR(IFERROR(IFERROR(IFERROR(IFERROR(IFERROR(IFERROR(SUMIFS(I_OpenDIS_ZGA[CO2-uitstoot activiteit], I_OpenDIS_ZGA[Zorgactiviteitcode], TC_DIA811[[#This Row],[Zorgactiviteitcode]]) / TC_DIA811[[#This Row],[Dekking]],""),""),""),""),""),""),""),""),""),"")</f>
        <v/>
      </c>
      <c r="H65" s="9" t="str">
        <f>IFERROR(IFERROR(IFERROR(IFERROR(IFERROR(IFERROR(IFERROR(IFERROR(IFERROR(IFERROR(SUMIFS(I_OpenDIS_ZGA[Afval activiteit], I_OpenDIS_ZGA[Zorgactiviteitcode], TC_DIA811[[#This Row],[Zorgactiviteitcode]]) / TC_DIA811[[#This Row],[Dekking]],""),""),""),""),""),""),""),""),""),"")</f>
        <v/>
      </c>
    </row>
    <row r="66" spans="2:8" x14ac:dyDescent="0.45">
      <c r="B66">
        <v>5</v>
      </c>
      <c r="C66" s="3" t="str">
        <f>IFERROR(IFERROR(IFERROR(IFERROR(IFERROR(IFERROR(IFERROR(IFERROR(IFERROR(IFERROR(_xlfn.XLOOKUP(TC_DIA811[[#This Row],[Rank]], Ranking_Zorgactiviteiten[Rank diagnose], Ranking_Zorgactiviteiten[Zorgactiviteitcode]),""),""),""),""),""),""),""),""),""),"")</f>
        <v/>
      </c>
      <c r="D66" t="str">
        <f>IFERROR(IFERROR(IFERROR(IFERROR(IFERROR(IFERROR(IFERROR(IFERROR(IFERROR(IFERROR(_xlfn.XLOOKUP(TC_DIA811[[#This Row],[Zorgactiviteitcode]], Ranking_Zorgactiviteiten[Zorgactiviteitcode], Ranking_Zorgactiviteiten[Zorgactiviteit]),""),""),""),""),""),""),""),""),""),"")</f>
        <v/>
      </c>
      <c r="E66" s="9" t="str">
        <f>IFERROR(IFERROR(IFERROR(IFERROR(IFERROR(IFERROR(IFERROR(IFERROR(IFERROR(IFERROR(_xlfn.XLOOKUP(TC_DIA811[[#This Row],[Zorgactiviteitcode]], Ranking_Zorgactiviteiten[Zorgactiviteitcode], Ranking_Zorgactiviteiten[Fct_aantal_zga]),""),""),""),""),""),""),""),""),""),"")</f>
        <v/>
      </c>
      <c r="F66" s="32" t="str">
        <f>IFERROR(IFERROR(IFERROR(IFERROR(IFERROR(IFERROR(IFERROR(IFERROR(IFERROR(IFERROR(SUMIFS(I_OpenDIS_ZGA[fct_aantal_zga], I_OpenDIS_ZGA[Zorgactiviteitcode], TC_DIA811[[#This Row],[Zorgactiviteitcode]], I_OpenDIS_ZGA[Relevante input?], 1) / SUMIFS(I_OpenDIS_ZGA[fct_aantal_zga], I_OpenDIS_ZGA[Zorgactiviteitcode], TC_DIA811[[#This Row],[Zorgactiviteitcode]]),""),""),""),""),""),""),""),""),""),"")</f>
        <v/>
      </c>
      <c r="G66" s="9" t="str">
        <f>IFERROR(IFERROR(IFERROR(IFERROR(IFERROR(IFERROR(IFERROR(IFERROR(IFERROR(IFERROR(SUMIFS(I_OpenDIS_ZGA[CO2-uitstoot activiteit], I_OpenDIS_ZGA[Zorgactiviteitcode], TC_DIA811[[#This Row],[Zorgactiviteitcode]]) / TC_DIA811[[#This Row],[Dekking]],""),""),""),""),""),""),""),""),""),"")</f>
        <v/>
      </c>
      <c r="H66" s="9" t="str">
        <f>IFERROR(IFERROR(IFERROR(IFERROR(IFERROR(IFERROR(IFERROR(IFERROR(IFERROR(IFERROR(SUMIFS(I_OpenDIS_ZGA[Afval activiteit], I_OpenDIS_ZGA[Zorgactiviteitcode], TC_DIA811[[#This Row],[Zorgactiviteitcode]]) / TC_DIA811[[#This Row],[Dekking]],""),""),""),""),""),""),""),""),""),"")</f>
        <v/>
      </c>
    </row>
    <row r="67" spans="2:8" x14ac:dyDescent="0.45">
      <c r="B67">
        <v>6</v>
      </c>
      <c r="C67" s="3" t="str">
        <f>IFERROR(IFERROR(IFERROR(IFERROR(IFERROR(IFERROR(IFERROR(IFERROR(IFERROR(IFERROR(_xlfn.XLOOKUP(TC_DIA811[[#This Row],[Rank]], Ranking_Zorgactiviteiten[Rank diagnose], Ranking_Zorgactiviteiten[Zorgactiviteitcode]),""),""),""),""),""),""),""),""),""),"")</f>
        <v/>
      </c>
      <c r="D67" t="str">
        <f>IFERROR(IFERROR(IFERROR(IFERROR(IFERROR(IFERROR(IFERROR(IFERROR(IFERROR(IFERROR(_xlfn.XLOOKUP(TC_DIA811[[#This Row],[Zorgactiviteitcode]], Ranking_Zorgactiviteiten[Zorgactiviteitcode], Ranking_Zorgactiviteiten[Zorgactiviteit]),""),""),""),""),""),""),""),""),""),"")</f>
        <v/>
      </c>
      <c r="E67" s="9" t="str">
        <f>IFERROR(IFERROR(IFERROR(IFERROR(IFERROR(IFERROR(IFERROR(IFERROR(IFERROR(IFERROR(_xlfn.XLOOKUP(TC_DIA811[[#This Row],[Zorgactiviteitcode]], Ranking_Zorgactiviteiten[Zorgactiviteitcode], Ranking_Zorgactiviteiten[Fct_aantal_zga]),""),""),""),""),""),""),""),""),""),"")</f>
        <v/>
      </c>
      <c r="F67" s="32" t="str">
        <f>IFERROR(IFERROR(IFERROR(IFERROR(IFERROR(IFERROR(IFERROR(IFERROR(IFERROR(IFERROR(SUMIFS(I_OpenDIS_ZGA[fct_aantal_zga], I_OpenDIS_ZGA[Zorgactiviteitcode], TC_DIA811[[#This Row],[Zorgactiviteitcode]], I_OpenDIS_ZGA[Relevante input?], 1) / SUMIFS(I_OpenDIS_ZGA[fct_aantal_zga], I_OpenDIS_ZGA[Zorgactiviteitcode], TC_DIA811[[#This Row],[Zorgactiviteitcode]]),""),""),""),""),""),""),""),""),""),"")</f>
        <v/>
      </c>
      <c r="G67" s="9" t="str">
        <f>IFERROR(IFERROR(IFERROR(IFERROR(IFERROR(IFERROR(IFERROR(IFERROR(IFERROR(IFERROR(SUMIFS(I_OpenDIS_ZGA[CO2-uitstoot activiteit], I_OpenDIS_ZGA[Zorgactiviteitcode], TC_DIA811[[#This Row],[Zorgactiviteitcode]]) / TC_DIA811[[#This Row],[Dekking]],""),""),""),""),""),""),""),""),""),"")</f>
        <v/>
      </c>
      <c r="H67" s="9" t="str">
        <f>IFERROR(IFERROR(IFERROR(IFERROR(IFERROR(IFERROR(IFERROR(IFERROR(IFERROR(IFERROR(SUMIFS(I_OpenDIS_ZGA[Afval activiteit], I_OpenDIS_ZGA[Zorgactiviteitcode], TC_DIA811[[#This Row],[Zorgactiviteitcode]]) / TC_DIA811[[#This Row],[Dekking]],""),""),""),""),""),""),""),""),""),"")</f>
        <v/>
      </c>
    </row>
    <row r="68" spans="2:8" x14ac:dyDescent="0.45">
      <c r="B68">
        <v>7</v>
      </c>
      <c r="C68" s="3" t="str">
        <f>IFERROR(IFERROR(IFERROR(IFERROR(IFERROR(IFERROR(IFERROR(IFERROR(IFERROR(IFERROR(_xlfn.XLOOKUP(TC_DIA811[[#This Row],[Rank]], Ranking_Zorgactiviteiten[Rank diagnose], Ranking_Zorgactiviteiten[Zorgactiviteitcode]),""),""),""),""),""),""),""),""),""),"")</f>
        <v/>
      </c>
      <c r="D68" t="str">
        <f>IFERROR(IFERROR(IFERROR(IFERROR(IFERROR(IFERROR(IFERROR(IFERROR(IFERROR(IFERROR(_xlfn.XLOOKUP(TC_DIA811[[#This Row],[Zorgactiviteitcode]], Ranking_Zorgactiviteiten[Zorgactiviteitcode], Ranking_Zorgactiviteiten[Zorgactiviteit]),""),""),""),""),""),""),""),""),""),"")</f>
        <v/>
      </c>
      <c r="E68" s="9" t="str">
        <f>IFERROR(IFERROR(IFERROR(IFERROR(IFERROR(IFERROR(IFERROR(IFERROR(IFERROR(IFERROR(_xlfn.XLOOKUP(TC_DIA811[[#This Row],[Zorgactiviteitcode]], Ranking_Zorgactiviteiten[Zorgactiviteitcode], Ranking_Zorgactiviteiten[Fct_aantal_zga]),""),""),""),""),""),""),""),""),""),"")</f>
        <v/>
      </c>
      <c r="F68" s="32" t="str">
        <f>IFERROR(IFERROR(IFERROR(IFERROR(IFERROR(IFERROR(IFERROR(IFERROR(IFERROR(IFERROR(SUMIFS(I_OpenDIS_ZGA[fct_aantal_zga], I_OpenDIS_ZGA[Zorgactiviteitcode], TC_DIA811[[#This Row],[Zorgactiviteitcode]], I_OpenDIS_ZGA[Relevante input?], 1) / SUMIFS(I_OpenDIS_ZGA[fct_aantal_zga], I_OpenDIS_ZGA[Zorgactiviteitcode], TC_DIA811[[#This Row],[Zorgactiviteitcode]]),""),""),""),""),""),""),""),""),""),"")</f>
        <v/>
      </c>
      <c r="G68" s="9" t="str">
        <f>IFERROR(IFERROR(IFERROR(IFERROR(IFERROR(IFERROR(IFERROR(IFERROR(IFERROR(IFERROR(SUMIFS(I_OpenDIS_ZGA[CO2-uitstoot activiteit], I_OpenDIS_ZGA[Zorgactiviteitcode], TC_DIA811[[#This Row],[Zorgactiviteitcode]]) / TC_DIA811[[#This Row],[Dekking]],""),""),""),""),""),""),""),""),""),"")</f>
        <v/>
      </c>
      <c r="H68" s="9" t="str">
        <f>IFERROR(IFERROR(IFERROR(IFERROR(IFERROR(IFERROR(IFERROR(IFERROR(IFERROR(IFERROR(SUMIFS(I_OpenDIS_ZGA[Afval activiteit], I_OpenDIS_ZGA[Zorgactiviteitcode], TC_DIA811[[#This Row],[Zorgactiviteitcode]]) / TC_DIA811[[#This Row],[Dekking]],""),""),""),""),""),""),""),""),""),"")</f>
        <v/>
      </c>
    </row>
    <row r="69" spans="2:8" x14ac:dyDescent="0.45">
      <c r="B69">
        <v>8</v>
      </c>
      <c r="C69" s="3" t="str">
        <f>IFERROR(IFERROR(IFERROR(IFERROR(IFERROR(IFERROR(IFERROR(IFERROR(IFERROR(IFERROR(_xlfn.XLOOKUP(TC_DIA811[[#This Row],[Rank]], Ranking_Zorgactiviteiten[Rank diagnose], Ranking_Zorgactiviteiten[Zorgactiviteitcode]),""),""),""),""),""),""),""),""),""),"")</f>
        <v/>
      </c>
      <c r="D69" t="str">
        <f>IFERROR(IFERROR(IFERROR(IFERROR(IFERROR(IFERROR(IFERROR(IFERROR(IFERROR(IFERROR(_xlfn.XLOOKUP(TC_DIA811[[#This Row],[Zorgactiviteitcode]], Ranking_Zorgactiviteiten[Zorgactiviteitcode], Ranking_Zorgactiviteiten[Zorgactiviteit]),""),""),""),""),""),""),""),""),""),"")</f>
        <v/>
      </c>
      <c r="E69" s="9" t="str">
        <f>IFERROR(IFERROR(IFERROR(IFERROR(IFERROR(IFERROR(IFERROR(IFERROR(IFERROR(IFERROR(_xlfn.XLOOKUP(TC_DIA811[[#This Row],[Zorgactiviteitcode]], Ranking_Zorgactiviteiten[Zorgactiviteitcode], Ranking_Zorgactiviteiten[Fct_aantal_zga]),""),""),""),""),""),""),""),""),""),"")</f>
        <v/>
      </c>
      <c r="F69" s="32" t="str">
        <f>IFERROR(IFERROR(IFERROR(IFERROR(IFERROR(IFERROR(IFERROR(IFERROR(IFERROR(IFERROR(SUMIFS(I_OpenDIS_ZGA[fct_aantal_zga], I_OpenDIS_ZGA[Zorgactiviteitcode], TC_DIA811[[#This Row],[Zorgactiviteitcode]], I_OpenDIS_ZGA[Relevante input?], 1) / SUMIFS(I_OpenDIS_ZGA[fct_aantal_zga], I_OpenDIS_ZGA[Zorgactiviteitcode], TC_DIA811[[#This Row],[Zorgactiviteitcode]]),""),""),""),""),""),""),""),""),""),"")</f>
        <v/>
      </c>
      <c r="G69" s="9" t="str">
        <f>IFERROR(IFERROR(IFERROR(IFERROR(IFERROR(IFERROR(IFERROR(IFERROR(IFERROR(IFERROR(SUMIFS(I_OpenDIS_ZGA[CO2-uitstoot activiteit], I_OpenDIS_ZGA[Zorgactiviteitcode], TC_DIA811[[#This Row],[Zorgactiviteitcode]]) / TC_DIA811[[#This Row],[Dekking]],""),""),""),""),""),""),""),""),""),"")</f>
        <v/>
      </c>
      <c r="H69" s="9" t="str">
        <f>IFERROR(IFERROR(IFERROR(IFERROR(IFERROR(IFERROR(IFERROR(IFERROR(IFERROR(IFERROR(SUMIFS(I_OpenDIS_ZGA[Afval activiteit], I_OpenDIS_ZGA[Zorgactiviteitcode], TC_DIA811[[#This Row],[Zorgactiviteitcode]]) / TC_DIA811[[#This Row],[Dekking]],""),""),""),""),""),""),""),""),""),"")</f>
        <v/>
      </c>
    </row>
    <row r="70" spans="2:8" x14ac:dyDescent="0.45">
      <c r="B70">
        <v>9</v>
      </c>
      <c r="C70" s="3" t="str">
        <f>IFERROR(IFERROR(IFERROR(IFERROR(IFERROR(IFERROR(IFERROR(IFERROR(IFERROR(IFERROR(_xlfn.XLOOKUP(TC_DIA811[[#This Row],[Rank]], Ranking_Zorgactiviteiten[Rank diagnose], Ranking_Zorgactiviteiten[Zorgactiviteitcode]),""),""),""),""),""),""),""),""),""),"")</f>
        <v/>
      </c>
      <c r="D70" t="str">
        <f>IFERROR(IFERROR(IFERROR(IFERROR(IFERROR(IFERROR(IFERROR(IFERROR(IFERROR(IFERROR(_xlfn.XLOOKUP(TC_DIA811[[#This Row],[Zorgactiviteitcode]], Ranking_Zorgactiviteiten[Zorgactiviteitcode], Ranking_Zorgactiviteiten[Zorgactiviteit]),""),""),""),""),""),""),""),""),""),"")</f>
        <v/>
      </c>
      <c r="E70" s="9" t="str">
        <f>IFERROR(IFERROR(IFERROR(IFERROR(IFERROR(IFERROR(IFERROR(IFERROR(IFERROR(IFERROR(_xlfn.XLOOKUP(TC_DIA811[[#This Row],[Zorgactiviteitcode]], Ranking_Zorgactiviteiten[Zorgactiviteitcode], Ranking_Zorgactiviteiten[Fct_aantal_zga]),""),""),""),""),""),""),""),""),""),"")</f>
        <v/>
      </c>
      <c r="F70" s="32" t="str">
        <f>IFERROR(IFERROR(IFERROR(IFERROR(IFERROR(IFERROR(IFERROR(IFERROR(IFERROR(IFERROR(SUMIFS(I_OpenDIS_ZGA[fct_aantal_zga], I_OpenDIS_ZGA[Zorgactiviteitcode], TC_DIA811[[#This Row],[Zorgactiviteitcode]], I_OpenDIS_ZGA[Relevante input?], 1) / SUMIFS(I_OpenDIS_ZGA[fct_aantal_zga], I_OpenDIS_ZGA[Zorgactiviteitcode], TC_DIA811[[#This Row],[Zorgactiviteitcode]]),""),""),""),""),""),""),""),""),""),"")</f>
        <v/>
      </c>
      <c r="G70" s="9" t="str">
        <f>IFERROR(IFERROR(IFERROR(IFERROR(IFERROR(IFERROR(IFERROR(IFERROR(IFERROR(IFERROR(SUMIFS(I_OpenDIS_ZGA[CO2-uitstoot activiteit], I_OpenDIS_ZGA[Zorgactiviteitcode], TC_DIA811[[#This Row],[Zorgactiviteitcode]]) / TC_DIA811[[#This Row],[Dekking]],""),""),""),""),""),""),""),""),""),"")</f>
        <v/>
      </c>
      <c r="H70" s="9" t="str">
        <f>IFERROR(IFERROR(IFERROR(IFERROR(IFERROR(IFERROR(IFERROR(IFERROR(IFERROR(IFERROR(SUMIFS(I_OpenDIS_ZGA[Afval activiteit], I_OpenDIS_ZGA[Zorgactiviteitcode], TC_DIA811[[#This Row],[Zorgactiviteitcode]]) / TC_DIA811[[#This Row],[Dekking]],""),""),""),""),""),""),""),""),""),"")</f>
        <v/>
      </c>
    </row>
    <row r="71" spans="2:8" x14ac:dyDescent="0.45">
      <c r="B71">
        <v>10</v>
      </c>
      <c r="C71" s="3" t="str">
        <f>IFERROR(IFERROR(IFERROR(IFERROR(IFERROR(IFERROR(IFERROR(IFERROR(IFERROR(IFERROR(_xlfn.XLOOKUP(TC_DIA811[[#This Row],[Rank]], Ranking_Zorgactiviteiten[Rank diagnose], Ranking_Zorgactiviteiten[Zorgactiviteitcode]),""),""),""),""),""),""),""),""),""),"")</f>
        <v/>
      </c>
      <c r="D71" t="str">
        <f>IFERROR(IFERROR(IFERROR(IFERROR(IFERROR(IFERROR(IFERROR(IFERROR(IFERROR(IFERROR(_xlfn.XLOOKUP(TC_DIA811[[#This Row],[Zorgactiviteitcode]], Ranking_Zorgactiviteiten[Zorgactiviteitcode], Ranking_Zorgactiviteiten[Zorgactiviteit]),""),""),""),""),""),""),""),""),""),"")</f>
        <v/>
      </c>
      <c r="E71" s="9" t="str">
        <f>IFERROR(IFERROR(IFERROR(IFERROR(IFERROR(IFERROR(IFERROR(IFERROR(IFERROR(IFERROR(_xlfn.XLOOKUP(TC_DIA811[[#This Row],[Zorgactiviteitcode]], Ranking_Zorgactiviteiten[Zorgactiviteitcode], Ranking_Zorgactiviteiten[Fct_aantal_zga]),""),""),""),""),""),""),""),""),""),"")</f>
        <v/>
      </c>
      <c r="F71" s="32" t="str">
        <f>IFERROR(IFERROR(IFERROR(IFERROR(IFERROR(IFERROR(IFERROR(IFERROR(IFERROR(IFERROR(SUMIFS(I_OpenDIS_ZGA[fct_aantal_zga], I_OpenDIS_ZGA[Zorgactiviteitcode], TC_DIA811[[#This Row],[Zorgactiviteitcode]], I_OpenDIS_ZGA[Relevante input?], 1) / SUMIFS(I_OpenDIS_ZGA[fct_aantal_zga], I_OpenDIS_ZGA[Zorgactiviteitcode], TC_DIA811[[#This Row],[Zorgactiviteitcode]]),""),""),""),""),""),""),""),""),""),"")</f>
        <v/>
      </c>
      <c r="G71" s="9" t="str">
        <f>IFERROR(IFERROR(IFERROR(IFERROR(IFERROR(IFERROR(IFERROR(IFERROR(IFERROR(IFERROR(SUMIFS(I_OpenDIS_ZGA[CO2-uitstoot activiteit], I_OpenDIS_ZGA[Zorgactiviteitcode], TC_DIA811[[#This Row],[Zorgactiviteitcode]]) / TC_DIA811[[#This Row],[Dekking]],""),""),""),""),""),""),""),""),""),"")</f>
        <v/>
      </c>
      <c r="H71" s="9" t="str">
        <f>IFERROR(IFERROR(IFERROR(IFERROR(IFERROR(IFERROR(IFERROR(IFERROR(IFERROR(IFERROR(SUMIFS(I_OpenDIS_ZGA[Afval activiteit], I_OpenDIS_ZGA[Zorgactiviteitcode], TC_DIA811[[#This Row],[Zorgactiviteitcode]]) / TC_DIA811[[#This Row],[Dekking]],""),""),""),""),""),""),""),""),""),"")</f>
        <v/>
      </c>
    </row>
    <row r="73" spans="2:8" x14ac:dyDescent="0.45">
      <c r="B73" s="4" t="s">
        <v>86</v>
      </c>
      <c r="D73" t="s">
        <v>88</v>
      </c>
      <c r="E73" s="27">
        <f>IFERROR(SUM(TC_DIA811[Aantal zorgactiviteiten]),"")</f>
        <v>0</v>
      </c>
      <c r="G73" s="27">
        <f>IFERROR(SUM(TC_DIA811[KG CO2-uitstoot]),"")</f>
        <v>0</v>
      </c>
      <c r="H73" s="27">
        <f>IFERROR(SUM(TC_DIA811[KG Afval]),"")</f>
        <v>0</v>
      </c>
    </row>
    <row r="74" spans="2:8" x14ac:dyDescent="0.45">
      <c r="D74" t="s">
        <v>29</v>
      </c>
      <c r="E74" s="27">
        <f>IFERROR(SUM(I_OpenDIS_ZGA[fct_aantal_zga]),"")</f>
        <v>0</v>
      </c>
      <c r="G74" s="9" t="str">
        <f>IFERROR(G73/E75,"")</f>
        <v/>
      </c>
      <c r="H74" s="9" t="str">
        <f>IFERROR(H73/E75,"")</f>
        <v/>
      </c>
    </row>
    <row r="75" spans="2:8" x14ac:dyDescent="0.45">
      <c r="D75" t="s">
        <v>74</v>
      </c>
      <c r="E75" s="28" t="str">
        <f>IFERROR(E73/E74,"")</f>
        <v/>
      </c>
    </row>
    <row r="77" spans="2:8" x14ac:dyDescent="0.45">
      <c r="B77" s="10"/>
      <c r="C77" s="10"/>
      <c r="D77" s="10"/>
    </row>
    <row r="78" spans="2:8" x14ac:dyDescent="0.45">
      <c r="C78" s="34"/>
      <c r="D78" s="34"/>
    </row>
    <row r="79" spans="2:8" x14ac:dyDescent="0.45">
      <c r="C79" s="34"/>
      <c r="D79" s="34"/>
    </row>
    <row r="80" spans="2:8" x14ac:dyDescent="0.45">
      <c r="C80" s="34"/>
      <c r="D80" s="34"/>
    </row>
    <row r="81" spans="3:4" x14ac:dyDescent="0.45">
      <c r="C81" s="34"/>
      <c r="D81" s="34"/>
    </row>
    <row r="82" spans="3:4" x14ac:dyDescent="0.45">
      <c r="C82" s="34"/>
      <c r="D82" s="34"/>
    </row>
    <row r="83" spans="3:4" x14ac:dyDescent="0.45">
      <c r="C83" s="34"/>
      <c r="D83" s="34"/>
    </row>
    <row r="84" spans="3:4" x14ac:dyDescent="0.45">
      <c r="C84" s="34"/>
      <c r="D84" s="34"/>
    </row>
    <row r="85" spans="3:4" x14ac:dyDescent="0.45">
      <c r="C85" s="34"/>
      <c r="D85" s="34"/>
    </row>
  </sheetData>
  <pageMargins left="0.7" right="0.7" top="0.75" bottom="0.75" header="0.3" footer="0.3"/>
  <pageSetup paperSize="9" orientation="portrait" horizontalDpi="4294967293" verticalDpi="0" r:id="rId1"/>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82A38-1D49-4048-BFE7-BFBB0C9F65E7}">
  <sheetPr>
    <tabColor theme="3" tint="0.749992370372631"/>
  </sheetPr>
  <dimension ref="B2:F17"/>
  <sheetViews>
    <sheetView workbookViewId="0"/>
  </sheetViews>
  <sheetFormatPr defaultRowHeight="14.25" x14ac:dyDescent="0.45"/>
  <cols>
    <col min="2" max="6" width="30.796875" customWidth="1"/>
  </cols>
  <sheetData>
    <row r="2" spans="2:6" ht="16.5" x14ac:dyDescent="0.45">
      <c r="B2" s="5" t="s">
        <v>130</v>
      </c>
    </row>
    <row r="4" spans="2:6" x14ac:dyDescent="0.45">
      <c r="B4" s="10" t="s">
        <v>44</v>
      </c>
      <c r="C4" s="10" t="s">
        <v>57</v>
      </c>
      <c r="D4" s="10" t="s">
        <v>58</v>
      </c>
      <c r="E4" s="10" t="s">
        <v>59</v>
      </c>
      <c r="F4" s="10" t="s">
        <v>60</v>
      </c>
    </row>
    <row r="5" spans="2:6" x14ac:dyDescent="0.45">
      <c r="B5" t="s">
        <v>50</v>
      </c>
      <c r="C5" s="11">
        <v>0.1</v>
      </c>
      <c r="D5" s="11" t="s">
        <v>61</v>
      </c>
      <c r="E5" s="11">
        <v>0</v>
      </c>
      <c r="F5" s="11" t="s">
        <v>61</v>
      </c>
    </row>
    <row r="6" spans="2:6" x14ac:dyDescent="0.45">
      <c r="B6" t="s">
        <v>51</v>
      </c>
      <c r="C6" s="11">
        <v>20</v>
      </c>
      <c r="D6" s="11" t="s">
        <v>62</v>
      </c>
      <c r="E6" s="11">
        <v>0.1</v>
      </c>
      <c r="F6" s="11" t="s">
        <v>153</v>
      </c>
    </row>
    <row r="7" spans="2:6" x14ac:dyDescent="0.45">
      <c r="B7" t="s">
        <v>46</v>
      </c>
      <c r="C7" s="11">
        <v>2</v>
      </c>
      <c r="D7" s="11" t="s">
        <v>150</v>
      </c>
      <c r="E7" s="11">
        <v>0.5</v>
      </c>
      <c r="F7" s="11" t="s">
        <v>150</v>
      </c>
    </row>
    <row r="8" spans="2:6" x14ac:dyDescent="0.45">
      <c r="B8" t="s">
        <v>45</v>
      </c>
      <c r="C8" s="11">
        <v>10</v>
      </c>
      <c r="D8" s="11" t="s">
        <v>151</v>
      </c>
      <c r="E8" s="11">
        <v>0.5</v>
      </c>
      <c r="F8" s="11" t="s">
        <v>151</v>
      </c>
    </row>
    <row r="9" spans="2:6" x14ac:dyDescent="0.45">
      <c r="B9" t="s">
        <v>47</v>
      </c>
      <c r="C9" s="11">
        <v>20</v>
      </c>
      <c r="D9" s="11" t="s">
        <v>152</v>
      </c>
      <c r="E9" s="11">
        <v>1</v>
      </c>
      <c r="F9" s="11" t="s">
        <v>152</v>
      </c>
    </row>
    <row r="10" spans="2:6" x14ac:dyDescent="0.45">
      <c r="B10" t="s">
        <v>52</v>
      </c>
      <c r="C10" s="11">
        <v>70</v>
      </c>
      <c r="D10" s="11" t="s">
        <v>63</v>
      </c>
      <c r="E10" s="11">
        <v>5</v>
      </c>
      <c r="F10" s="11" t="s">
        <v>147</v>
      </c>
    </row>
    <row r="11" spans="2:6" x14ac:dyDescent="0.45">
      <c r="B11" t="s">
        <v>54</v>
      </c>
      <c r="C11" s="11">
        <v>200</v>
      </c>
      <c r="D11" s="11" t="s">
        <v>62</v>
      </c>
      <c r="E11" s="11">
        <v>10</v>
      </c>
      <c r="F11" s="12" t="s">
        <v>64</v>
      </c>
    </row>
    <row r="12" spans="2:6" x14ac:dyDescent="0.45">
      <c r="B12" t="s">
        <v>53</v>
      </c>
      <c r="C12" s="11">
        <v>500</v>
      </c>
      <c r="D12" s="11" t="s">
        <v>63</v>
      </c>
      <c r="E12" s="11">
        <v>25</v>
      </c>
      <c r="F12" s="12" t="s">
        <v>65</v>
      </c>
    </row>
    <row r="13" spans="2:6" x14ac:dyDescent="0.45">
      <c r="B13" t="s">
        <v>48</v>
      </c>
      <c r="C13" s="11">
        <v>55</v>
      </c>
      <c r="D13" s="11" t="s">
        <v>62</v>
      </c>
      <c r="E13" s="11">
        <v>5</v>
      </c>
      <c r="F13" s="11" t="s">
        <v>149</v>
      </c>
    </row>
    <row r="14" spans="2:6" x14ac:dyDescent="0.45">
      <c r="B14" t="s">
        <v>55</v>
      </c>
      <c r="C14" s="11">
        <v>0.2</v>
      </c>
      <c r="D14" s="11" t="s">
        <v>148</v>
      </c>
      <c r="E14" s="11">
        <v>0.1</v>
      </c>
      <c r="F14" s="11" t="s">
        <v>148</v>
      </c>
    </row>
    <row r="15" spans="2:6" x14ac:dyDescent="0.45">
      <c r="B15" t="s">
        <v>56</v>
      </c>
      <c r="C15" s="11">
        <v>1</v>
      </c>
      <c r="D15" s="11" t="s">
        <v>144</v>
      </c>
      <c r="E15" s="11">
        <v>0.5</v>
      </c>
      <c r="F15" s="11" t="s">
        <v>144</v>
      </c>
    </row>
    <row r="16" spans="2:6" x14ac:dyDescent="0.45">
      <c r="B16" t="s">
        <v>66</v>
      </c>
      <c r="C16" s="11">
        <v>5</v>
      </c>
      <c r="D16" s="11" t="s">
        <v>145</v>
      </c>
      <c r="E16" s="11">
        <v>1</v>
      </c>
      <c r="F16" s="11" t="s">
        <v>146</v>
      </c>
    </row>
    <row r="17" spans="2:6" x14ac:dyDescent="0.45">
      <c r="B17" t="s">
        <v>49</v>
      </c>
      <c r="C17" s="13">
        <v>0</v>
      </c>
      <c r="D17" s="11" t="s">
        <v>61</v>
      </c>
      <c r="E17" s="13">
        <v>0</v>
      </c>
      <c r="F17" s="11" t="s">
        <v>61</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52E5E-ADEA-499D-8BFF-E5F826DC4ED4}">
  <sheetPr>
    <tabColor theme="3" tint="0.749992370372631"/>
  </sheetPr>
  <dimension ref="B2:R5"/>
  <sheetViews>
    <sheetView zoomScale="85" zoomScaleNormal="85" workbookViewId="0">
      <selection activeCell="K9" sqref="K9"/>
    </sheetView>
  </sheetViews>
  <sheetFormatPr defaultRowHeight="14.25" x14ac:dyDescent="0.45"/>
  <cols>
    <col min="2" max="2" width="40.796875" customWidth="1"/>
    <col min="3" max="3" width="20.796875" customWidth="1"/>
    <col min="4" max="4" width="40.796875" customWidth="1"/>
    <col min="5" max="6" width="20.796875" customWidth="1"/>
    <col min="8" max="8" width="40.796875" customWidth="1"/>
    <col min="9" max="9" width="20.796875" customWidth="1"/>
    <col min="10" max="10" width="40.796875" customWidth="1"/>
    <col min="11" max="11" width="22" customWidth="1"/>
    <col min="12" max="12" width="20.796875" customWidth="1"/>
    <col min="14" max="14" width="40.796875" customWidth="1"/>
    <col min="15" max="15" width="20.796875" customWidth="1"/>
    <col min="16" max="16" width="40.796875" customWidth="1"/>
    <col min="17" max="17" width="22.19921875" customWidth="1"/>
    <col min="18" max="18" width="20.796875" customWidth="1"/>
  </cols>
  <sheetData>
    <row r="2" spans="2:18" ht="18.75" x14ac:dyDescent="0.5">
      <c r="B2" s="6" t="s">
        <v>76</v>
      </c>
      <c r="H2" s="6" t="s">
        <v>77</v>
      </c>
      <c r="N2" s="6" t="s">
        <v>80</v>
      </c>
    </row>
    <row r="3" spans="2:18" x14ac:dyDescent="0.45">
      <c r="E3" s="14">
        <f>SUM(Ranking_Diagnoses[Fct_aantal_sbt_per_dia])</f>
        <v>0</v>
      </c>
      <c r="K3" s="14">
        <f>SUM(Ranking_Zorgproducten[Fct_aantal_sbt_per_zpr])</f>
        <v>0</v>
      </c>
    </row>
    <row r="4" spans="2:18" x14ac:dyDescent="0.45">
      <c r="B4" s="8" t="s">
        <v>11</v>
      </c>
      <c r="C4" s="8" t="s">
        <v>32</v>
      </c>
      <c r="D4" s="8" t="s">
        <v>12</v>
      </c>
      <c r="E4" s="8" t="s">
        <v>41</v>
      </c>
      <c r="F4" s="8" t="s">
        <v>42</v>
      </c>
      <c r="H4" s="8" t="s">
        <v>11</v>
      </c>
      <c r="I4" s="8" t="s">
        <v>33</v>
      </c>
      <c r="J4" s="8" t="s">
        <v>78</v>
      </c>
      <c r="K4" s="8" t="s">
        <v>79</v>
      </c>
      <c r="L4" s="8" t="s">
        <v>81</v>
      </c>
      <c r="N4" s="8" t="s">
        <v>11</v>
      </c>
      <c r="O4" s="8" t="s">
        <v>37</v>
      </c>
      <c r="P4" s="8" t="s">
        <v>43</v>
      </c>
      <c r="Q4" s="8" t="s">
        <v>82</v>
      </c>
      <c r="R4" s="8" t="s">
        <v>42</v>
      </c>
    </row>
    <row r="5" spans="2:18" x14ac:dyDescent="0.45">
      <c r="E5" s="9">
        <f>_xlfn.XLOOKUP(Ranking_Diagnoses[[#This Row],[Diagnosecode]], I_OpenDIS_ZPR[Diagnosecode], I_OpenDIS_ZPR[fct_aantal_sbt_per_dia])</f>
        <v>0</v>
      </c>
      <c r="F5" s="2">
        <f>COUNTIFS(Ranking_Diagnoses[Specialisme], Ranking_Diagnoses[[#This Row],[Specialisme]], Ranking_Diagnoses[Fct_aantal_sbt_per_dia], "&gt;" &amp; Ranking_Diagnoses[[#This Row],[Fct_aantal_sbt_per_dia]]) + COUNTIFS($C$4:C4,#REF!, $E$4:E4, Ranking_Diagnoses[[#This Row],[Fct_aantal_sbt_per_dia]]) + 1</f>
        <v>1</v>
      </c>
      <c r="K5" s="9">
        <f>SUMIFS(I_OpenDIS_ZPR[fct_aantal_sbt_per_zpr], I_OpenDIS_ZPR[Zorgproductcode], Ranking_Zorgproducten[[#This Row],[Zorgproductcode]])</f>
        <v>0</v>
      </c>
      <c r="L5" s="2">
        <f>COUNTIFS(Ranking_Zorgproducten[Specialisme], Ranking_Zorgproducten[[#This Row],[Specialisme]], Ranking_Zorgproducten[Fct_aantal_sbt_per_zpr], "&gt;" &amp; Ranking_Zorgproducten[[#This Row],[Fct_aantal_sbt_per_zpr]]) + COUNTIFS($H$4:H4, Ranking_Zorgproducten[[#This Row],[Specialisme]], $K$4:K4, Ranking_Zorgproducten[[#This Row],[Fct_aantal_sbt_per_zpr]]) + 1</f>
        <v>1</v>
      </c>
      <c r="Q5" s="15">
        <f>SUMIFS(I_OpenDIS_ZGA[fct_aantal_zga], I_OpenDIS_ZGA[Zorgactiviteitcode], Ranking_Zorgactiviteiten[[#This Row],[Zorgactiviteitcode]])</f>
        <v>0</v>
      </c>
      <c r="R5" s="2">
        <f>COUNTIFS(Ranking_Zorgactiviteiten[Specialisme], Ranking_Zorgactiviteiten[[#This Row],[Specialisme]], Ranking_Zorgactiviteiten[Fct_aantal_zga], "&gt;" &amp; Ranking_Zorgactiviteiten[[#This Row],[Fct_aantal_zga]]) + COUNTIFS($N$4:N4, Ranking_Zorgactiviteiten[[#This Row],[Specialisme]], $Q$4:Q4, Ranking_Zorgactiviteiten[[#This Row],[Fct_aantal_zga]]) + 1</f>
        <v>1</v>
      </c>
    </row>
  </sheetData>
  <sortState xmlns:xlrd2="http://schemas.microsoft.com/office/spreadsheetml/2017/richdata2" ref="I5:I991">
    <sortCondition ref="I5:I991"/>
  </sortState>
  <pageMargins left="0.7" right="0.7" top="0.75" bottom="0.75" header="0.3" footer="0.3"/>
  <tableParts count="3">
    <tablePart r:id="rId1"/>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703D9-027C-485F-B0F7-3B88ADB80E1F}">
  <sheetPr codeName="Sheet4">
    <tabColor theme="3" tint="0.749992370372631"/>
  </sheetPr>
  <dimension ref="B2:S6"/>
  <sheetViews>
    <sheetView zoomScale="85" zoomScaleNormal="85" workbookViewId="0"/>
  </sheetViews>
  <sheetFormatPr defaultRowHeight="14.25" x14ac:dyDescent="0.45"/>
  <cols>
    <col min="2" max="3" width="20.796875" customWidth="1"/>
    <col min="4" max="4" width="40.796875" customWidth="1"/>
    <col min="5" max="5" width="20.796875" customWidth="1"/>
    <col min="6" max="6" width="40.796875" customWidth="1"/>
    <col min="7" max="7" width="20.796875" customWidth="1"/>
    <col min="8" max="9" width="40.796875" customWidth="1"/>
    <col min="10" max="10" width="22.6640625" customWidth="1"/>
    <col min="11" max="11" width="22.53125" customWidth="1"/>
    <col min="12" max="12" width="22.6640625" customWidth="1"/>
    <col min="13" max="13" width="22.53125" customWidth="1"/>
    <col min="14" max="14" width="22.796875" customWidth="1"/>
    <col min="15" max="19" width="22.6640625" customWidth="1"/>
    <col min="20" max="20" width="10.1328125" customWidth="1"/>
    <col min="21" max="21" width="14.33203125" customWidth="1"/>
    <col min="22" max="22" width="23.46484375" customWidth="1"/>
    <col min="23" max="23" width="14.19921875" customWidth="1"/>
  </cols>
  <sheetData>
    <row r="2" spans="2:19" ht="18.75" x14ac:dyDescent="0.5">
      <c r="B2" s="6" t="s">
        <v>36</v>
      </c>
    </row>
    <row r="3" spans="2:19" s="7" customFormat="1" x14ac:dyDescent="0.45">
      <c r="B3" s="7" t="s">
        <v>35</v>
      </c>
    </row>
    <row r="5" spans="2:19" x14ac:dyDescent="0.45">
      <c r="B5" t="s">
        <v>10</v>
      </c>
      <c r="C5" t="s">
        <v>34</v>
      </c>
      <c r="D5" t="s">
        <v>11</v>
      </c>
      <c r="E5" t="s">
        <v>32</v>
      </c>
      <c r="F5" t="s">
        <v>12</v>
      </c>
      <c r="G5" t="s">
        <v>33</v>
      </c>
      <c r="H5" t="s">
        <v>13</v>
      </c>
      <c r="I5" t="s">
        <v>14</v>
      </c>
      <c r="J5" t="s">
        <v>0</v>
      </c>
      <c r="K5" t="s">
        <v>1</v>
      </c>
      <c r="L5" t="s">
        <v>2</v>
      </c>
      <c r="M5" t="s">
        <v>3</v>
      </c>
      <c r="N5" t="s">
        <v>4</v>
      </c>
      <c r="O5" t="s">
        <v>5</v>
      </c>
      <c r="P5" t="s">
        <v>6</v>
      </c>
      <c r="Q5" t="s">
        <v>7</v>
      </c>
      <c r="R5" t="s">
        <v>8</v>
      </c>
      <c r="S5" t="s">
        <v>9</v>
      </c>
    </row>
    <row r="6" spans="2:19" x14ac:dyDescent="0.45">
      <c r="J6" s="1"/>
      <c r="K6" s="1"/>
      <c r="L6" s="1"/>
      <c r="M6" s="1"/>
      <c r="N6" s="1"/>
      <c r="O6" s="1"/>
      <c r="P6" s="29" t="str">
        <f>I_OpenDIS_ZPR[[#This Row],[Specialismecode]]&amp;"_"&amp;I_OpenDIS_ZPR[[#This Row],[Diagnosecode]]</f>
        <v>_</v>
      </c>
      <c r="Q6" s="29" t="str">
        <f>I_OpenDIS_ZPR[[#This Row],[Specialismecode]]&amp;"_"&amp;I_OpenDIS_ZPR[[#This Row],[Diagnosecode]]&amp;"_"&amp;I_OpenDIS_ZPR[[#This Row],[Zorgproductcode]]</f>
        <v>__</v>
      </c>
      <c r="R6" s="29">
        <f>COUNTIFS(I_OpenDIS_ZPR[SPC_DIA], I_OpenDIS_ZPR[[#This Row],[SPC_DIA]], I_OpenDIS_ZPR[fct_aantal_sbt_per_zpr], "&gt;" &amp; I_OpenDIS_ZPR[[#This Row],[fct_aantal_sbt_per_zpr]]) + COUNTIFS($P$5:P5, I_OpenDIS_ZPR[[#This Row],[SPC_DIA]], $K$5:K5, I_OpenDIS_ZPR[[#This Row],[fct_aantal_sbt_per_zpr]]) + 1</f>
        <v>1</v>
      </c>
      <c r="S6" s="29" t="str">
        <f>I_OpenDIS_ZPR[[#This Row],[SPC_DIA]]&amp;"_"&amp;I_OpenDIS_ZPR[[#This Row],[Rank zpr binnen spc_dia]]</f>
        <v>__1</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6ADC2-9231-4A24-BC17-796915BF8C15}">
  <sheetPr codeName="Sheet5">
    <tabColor theme="3" tint="0.749992370372631"/>
  </sheetPr>
  <dimension ref="B2:AE6"/>
  <sheetViews>
    <sheetView zoomScale="85" zoomScaleNormal="85" workbookViewId="0"/>
  </sheetViews>
  <sheetFormatPr defaultRowHeight="14.25" x14ac:dyDescent="0.45"/>
  <cols>
    <col min="2" max="3" width="20.796875" customWidth="1"/>
    <col min="4" max="4" width="40.796875" customWidth="1"/>
    <col min="5" max="5" width="20.796875" customWidth="1"/>
    <col min="6" max="6" width="40.796875" customWidth="1"/>
    <col min="7" max="7" width="20.796875" customWidth="1"/>
    <col min="8" max="8" width="40.796875" customWidth="1"/>
    <col min="9" max="9" width="20.796875" customWidth="1"/>
    <col min="10" max="10" width="40.796875" customWidth="1"/>
    <col min="11" max="11" width="20.796875" customWidth="1"/>
    <col min="12" max="12" width="40.796875" customWidth="1"/>
    <col min="13" max="31" width="20.796875" customWidth="1"/>
    <col min="32" max="32" width="20.1328125" customWidth="1"/>
  </cols>
  <sheetData>
    <row r="2" spans="2:31" ht="18.75" x14ac:dyDescent="0.5">
      <c r="B2" s="6" t="s">
        <v>40</v>
      </c>
    </row>
    <row r="3" spans="2:31" x14ac:dyDescent="0.45">
      <c r="B3" s="7" t="s">
        <v>35</v>
      </c>
    </row>
    <row r="5" spans="2:31" x14ac:dyDescent="0.45">
      <c r="B5" t="s">
        <v>10</v>
      </c>
      <c r="C5" t="s">
        <v>34</v>
      </c>
      <c r="D5" t="s">
        <v>11</v>
      </c>
      <c r="E5" t="s">
        <v>32</v>
      </c>
      <c r="F5" t="s">
        <v>12</v>
      </c>
      <c r="G5" t="s">
        <v>33</v>
      </c>
      <c r="H5" t="s">
        <v>13</v>
      </c>
      <c r="I5" t="s">
        <v>37</v>
      </c>
      <c r="J5" t="s">
        <v>18</v>
      </c>
      <c r="K5" t="s">
        <v>38</v>
      </c>
      <c r="L5" t="s">
        <v>39</v>
      </c>
      <c r="M5" t="s">
        <v>15</v>
      </c>
      <c r="N5" t="s">
        <v>16</v>
      </c>
      <c r="O5" t="s">
        <v>17</v>
      </c>
      <c r="P5" t="s">
        <v>19</v>
      </c>
      <c r="Q5" t="s">
        <v>6</v>
      </c>
      <c r="R5" t="s">
        <v>20</v>
      </c>
      <c r="S5" t="s">
        <v>21</v>
      </c>
      <c r="T5" t="s">
        <v>22</v>
      </c>
      <c r="U5" t="s">
        <v>23</v>
      </c>
      <c r="V5" t="s">
        <v>24</v>
      </c>
      <c r="W5" t="s">
        <v>25</v>
      </c>
      <c r="X5" t="s">
        <v>125</v>
      </c>
      <c r="Y5" t="s">
        <v>138</v>
      </c>
      <c r="Z5" t="s">
        <v>124</v>
      </c>
      <c r="AA5" t="s">
        <v>44</v>
      </c>
      <c r="AB5" t="s">
        <v>67</v>
      </c>
      <c r="AC5" t="s">
        <v>68</v>
      </c>
      <c r="AD5" t="s">
        <v>69</v>
      </c>
      <c r="AE5" t="s">
        <v>70</v>
      </c>
    </row>
    <row r="6" spans="2:31" x14ac:dyDescent="0.45">
      <c r="M6" s="1"/>
      <c r="N6" s="1"/>
      <c r="O6" s="1"/>
      <c r="P6" s="29" t="str">
        <f>I_OpenDIS_ZGA[[#This Row],[Specialismecode]]&amp;"_"&amp;I_OpenDIS_ZGA[[#This Row],[Zorgactiviteitcode]]</f>
        <v>_</v>
      </c>
      <c r="Q6" s="29" t="str">
        <f>I_OpenDIS_ZGA[[#This Row],[Specialismecode]]&amp;"_"&amp;I_OpenDIS_ZGA[[#This Row],[Diagnosecode]]</f>
        <v>_</v>
      </c>
      <c r="R6" s="29" t="str">
        <f>I_OpenDIS_ZGA[[#This Row],[Specialismecode]]&amp;"_"&amp;I_OpenDIS_ZGA[[#This Row],[Zorgprofielklassecode]]</f>
        <v>_</v>
      </c>
      <c r="S6" s="29">
        <f>COUNTIFS(I_OpenDIS_ZGA[SPC_ZPF], I_OpenDIS_ZGA[[#This Row],[SPC_ZPF]], I_OpenDIS_ZGA[fct_aantal_zga], "&gt;" &amp; I_OpenDIS_ZGA[[#This Row],[fct_aantal_zga]]) + COUNTIFS($R$5:R5, I_OpenDIS_ZGA[[#This Row],[SPC_ZPF]], $O$5:O5, I_OpenDIS_ZGA[[#This Row],[fct_aantal_zga]]) + 1</f>
        <v>1</v>
      </c>
      <c r="T6" s="29" t="str">
        <f>I_OpenDIS_ZGA[[#This Row],[SPC_ZPF]]&amp;"_"&amp;I_OpenDIS_ZGA[[#This Row],[Rank_ZGA_in_SPC_ZPF]]</f>
        <v>__1</v>
      </c>
      <c r="U6" s="29">
        <f>COUNTIFS(I_OpenDIS_ZGA[SPC_DIA], I_OpenDIS_ZGA[[#This Row],[SPC_DIA]], I_OpenDIS_ZGA[fct_aantal_zga], "&gt;" &amp; I_OpenDIS_ZGA[[#This Row],[fct_aantal_zga]]) + COUNTIFS($Q$5:Q5, I_OpenDIS_ZGA[[#This Row],[SPC_DIA]], $O$5:O5, I_OpenDIS_ZGA[[#This Row],[fct_aantal_zga]]) + 1</f>
        <v>1</v>
      </c>
      <c r="V6" s="29" t="str">
        <f>I_OpenDIS_ZGA[[#This Row],[SPC_DIA]]&amp;"_"&amp;I_OpenDIS_ZGA[[#This Row],[Rank_ZGA_in_SPC_DIA]]</f>
        <v>__1</v>
      </c>
      <c r="W6" s="29" t="s">
        <v>26</v>
      </c>
      <c r="X6" s="29">
        <f>_xlfn.XLOOKUP(I_OpenDIS_ZGA[[#This Row],[Zorgactiviteitcode]], Ranking_Zorgactiviteiten[Zorgactiviteitcode], Ranking_Zorgactiviteiten[Rank diagnose])</f>
        <v>1</v>
      </c>
      <c r="Y6" s="30">
        <f>IF(COUNTIFS(Table11[Type], "Zorgactiviteit", Table11[Code], I_OpenDIS_ZGA[[#This Row],[Zorgactiviteitcode]])&gt;0, 1, 0)</f>
        <v>0</v>
      </c>
      <c r="Z6" s="30">
        <f>IF(OR(I_OpenDIS_ZGA[[#This Row],[Rank_ZGA_in_SPC_ZPF]]&lt;=10, I_OpenDIS_ZGA[[#This Row],[Rank_ZGA_in_SPC_DIA]]&lt;=10, I_OpenDIS_ZGA[[#This Row],[Rank ZGA in SPC]]&lt;=50), 1, 0)</f>
        <v>1</v>
      </c>
      <c r="AA6" s="31">
        <f>IF(I_OpenDIS_ZGA[[#This Row],[Relevante input?]]=0, "n.v.t.", _xlfn.XLOOKUP(I_OpenDIS_ZGA[[#This Row],[Zorgactiviteitcode]], Input_Werkgroep[Zorgactiviteitcode], Input_Werkgroep[Type activiteit]))</f>
        <v>0</v>
      </c>
      <c r="AB6" s="2" t="e">
        <f>IFERROR(IF(I_OpenDIS_ZGA[[#This Row],[Wetenschappelijk onderzoek?]]=1, AVERAGEIFS(Table11[CO2-uitstoot], Table11[Type], "Zorgactiviteit", Table11[Code], I_OpenDIS_ZGA[[#This Row],[Zorgactiviteitcode]]), IF(I_OpenDIS_ZGA[[#This Row],[Relevante input?]]=0, "n.v.t.", _xlfn.XLOOKUP(I_OpenDIS_ZGA[[#This Row],[Type activiteit]], Bouwblok_activiteit[Type activiteit], Bouwblok_activiteit[CO2-uitstoot]))), IF(I_OpenDIS_ZGA[[#This Row],[Relevante input?]]=0, "n.v.t.", _xlfn.XLOOKUP(I_OpenDIS_ZGA[[#This Row],[Type activiteit]], Bouwblok_activiteit[Type activiteit], Bouwblok_activiteit[CO2-uitstoot])))</f>
        <v>#N/A</v>
      </c>
      <c r="AC6" s="9" t="e">
        <f>IF(I_OpenDIS_ZGA[[#This Row],[Relevante input?]]=0, "n.v.t.", I_OpenDIS_ZGA[[#This Row],[fct_aantal_zga]]*I_OpenDIS_ZGA[[#This Row],[CO2-uitstoot per activiteit]])</f>
        <v>#N/A</v>
      </c>
      <c r="AD6" s="2" t="e">
        <f>IFERROR(IF(I_OpenDIS_ZGA[[#This Row],[Wetenschappelijk onderzoek?]]=1, AVERAGEIFS(Table11[Afval], Table11[Type], "Zorgactiviteit", Table11[Code], I_OpenDIS_ZGA[[#This Row],[Zorgactiviteitcode]]), IF(I_OpenDIS_ZGA[[#This Row],[Relevante input?]]=0, "n.v.t.", _xlfn.XLOOKUP(I_OpenDIS_ZGA[[#This Row],[Type activiteit]], Bouwblok_activiteit[Type activiteit], Bouwblok_activiteit[Afval]))), IF(I_OpenDIS_ZGA[[#This Row],[Relevante input?]]=0, "n.v.t.", _xlfn.XLOOKUP(I_OpenDIS_ZGA[[#This Row],[Type activiteit]], Bouwblok_activiteit[Type activiteit], Bouwblok_activiteit[Afval])))</f>
        <v>#N/A</v>
      </c>
      <c r="AE6" s="9" t="e">
        <f>IF(I_OpenDIS_ZGA[[#This Row],[Relevante input?]]=0, "n.v.t.", I_OpenDIS_ZGA[[#This Row],[fct_aantal_zga]]*I_OpenDIS_ZGA[[#This Row],[Afval per activiteit]])</f>
        <v>#N/A</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Voorblad</vt:lpstr>
      <vt:lpstr>Gevraagde input - Activiteiten</vt:lpstr>
      <vt:lpstr>Optionele input - Onderzoek</vt:lpstr>
      <vt:lpstr>Output - Milieu-impact</vt:lpstr>
      <vt:lpstr>Input Gupta - Bouwblokken</vt:lpstr>
      <vt:lpstr>Input Gupta - Rankings</vt:lpstr>
      <vt:lpstr>Input_OpenDIS_Zorgproducten</vt:lpstr>
      <vt:lpstr>Input_OpenDIS_Zorgactiviteiten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2020-10-19T18:01:14Z</dcterms:created>
  <dcterms:modified xsi:type="dcterms:W3CDTF">2025-01-16T08:54:31Z</dcterms:modified>
</cp:coreProperties>
</file>